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8.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jonr\Dropbox (Vita Plus)\VPNET XLS\"/>
    </mc:Choice>
  </mc:AlternateContent>
  <workbookProtection workbookPassword="D040" lockStructure="1"/>
  <bookViews>
    <workbookView xWindow="-15" yWindow="45" windowWidth="19260" windowHeight="8610" tabRatio="710"/>
  </bookViews>
  <sheets>
    <sheet name="Instructions" sheetId="6" r:id="rId1"/>
    <sheet name="Inventory Calculator" sheetId="8" r:id="rId2"/>
    <sheet name="Feeds" sheetId="2" r:id="rId3"/>
    <sheet name="Current Rations" sheetId="1" r:id="rId4"/>
    <sheet name="Current Rations Cost Summary" sheetId="3" r:id="rId5"/>
    <sheet name="Acreage-Inoculant" sheetId="5" r:id="rId6"/>
    <sheet name="Feed Contracts" sheetId="10" r:id="rId7"/>
    <sheet name="FC Links" sheetId="11" state="hidden" r:id="rId8"/>
    <sheet name="Proposed Rations" sheetId="15" r:id="rId9"/>
    <sheet name="Proposed Rations Cost Summary" sheetId="13" r:id="rId10"/>
    <sheet name="Current vs Proposed Rations" sheetId="14" r:id="rId11"/>
  </sheets>
  <definedNames>
    <definedName name="_xlnm.Print_Area" localSheetId="5">'Acreage-Inoculant'!$A$1:$K$34</definedName>
    <definedName name="_xlnm.Print_Area" localSheetId="2">Feeds!$A$1:$L$22</definedName>
    <definedName name="_xlnm.Print_Area" localSheetId="1">'Inventory Calculator'!$A$1:$K$180</definedName>
  </definedNames>
  <calcPr calcId="152511"/>
</workbook>
</file>

<file path=xl/calcChain.xml><?xml version="1.0" encoding="utf-8"?>
<calcChain xmlns="http://schemas.openxmlformats.org/spreadsheetml/2006/main">
  <c r="D46" i="15" l="1"/>
  <c r="E46" i="15"/>
  <c r="F46" i="15"/>
  <c r="G46" i="15"/>
  <c r="H46" i="15"/>
  <c r="I46" i="15"/>
  <c r="J46" i="15"/>
  <c r="K46" i="15"/>
  <c r="L46" i="15"/>
  <c r="C46" i="15"/>
  <c r="D46" i="1"/>
  <c r="E46" i="1"/>
  <c r="F46" i="1"/>
  <c r="G46" i="1"/>
  <c r="H46" i="1"/>
  <c r="I46" i="1"/>
  <c r="J46" i="1"/>
  <c r="K46" i="1"/>
  <c r="L46" i="1"/>
  <c r="C46" i="1"/>
  <c r="H173" i="8"/>
  <c r="H180" i="8"/>
  <c r="H179" i="8"/>
  <c r="H178" i="8"/>
  <c r="H177" i="8"/>
  <c r="H176" i="8"/>
  <c r="H175" i="8"/>
  <c r="H174" i="8"/>
  <c r="H73" i="8"/>
  <c r="H72" i="8"/>
  <c r="H71" i="8"/>
  <c r="H70" i="8"/>
  <c r="H69" i="8"/>
  <c r="H68" i="8"/>
  <c r="H67" i="8"/>
  <c r="H66" i="8"/>
  <c r="K31" i="8" l="1"/>
  <c r="K32" i="8"/>
  <c r="K33" i="8"/>
  <c r="K34" i="8"/>
  <c r="K35" i="8"/>
  <c r="K36" i="8"/>
  <c r="K37" i="8"/>
  <c r="J31" i="8"/>
  <c r="J32" i="8"/>
  <c r="J33" i="8"/>
  <c r="J34" i="8"/>
  <c r="J35" i="8"/>
  <c r="J36" i="8"/>
  <c r="J37" i="8"/>
  <c r="J19" i="8"/>
  <c r="J20" i="8"/>
  <c r="J21" i="8"/>
  <c r="J22" i="8"/>
  <c r="J23" i="8"/>
  <c r="J24" i="8"/>
  <c r="J25" i="8"/>
  <c r="I19" i="8"/>
  <c r="I20" i="8"/>
  <c r="I21" i="8"/>
  <c r="I22" i="8"/>
  <c r="I23" i="8"/>
  <c r="I24" i="8"/>
  <c r="I25" i="8"/>
  <c r="J30" i="8"/>
  <c r="K30" i="8" s="1"/>
  <c r="I18" i="8"/>
  <c r="J18" i="8" s="1"/>
  <c r="M18" i="8" l="1"/>
  <c r="R15" i="5"/>
  <c r="P13" i="5"/>
  <c r="AL34" i="14" l="1"/>
  <c r="AM34" i="14"/>
  <c r="AL35" i="14"/>
  <c r="AM35" i="14"/>
  <c r="AL36" i="14"/>
  <c r="AM36" i="14"/>
  <c r="AL37" i="14"/>
  <c r="AM37" i="14"/>
  <c r="AL38" i="14"/>
  <c r="AM38" i="14"/>
  <c r="AL39" i="14"/>
  <c r="AM39" i="14"/>
  <c r="AL40" i="14"/>
  <c r="AM40" i="14"/>
  <c r="AL41" i="14"/>
  <c r="AM41" i="14"/>
  <c r="AL42" i="14"/>
  <c r="AM42" i="14"/>
  <c r="AL43" i="14"/>
  <c r="AM43" i="14"/>
  <c r="AL44" i="14"/>
  <c r="AM44" i="14"/>
  <c r="AL45" i="14"/>
  <c r="AM45" i="14"/>
  <c r="AL46" i="14"/>
  <c r="AM46" i="14"/>
  <c r="AL47" i="14"/>
  <c r="AM47" i="14"/>
  <c r="AL48" i="14"/>
  <c r="AM48" i="14"/>
  <c r="AL49" i="14"/>
  <c r="AM49" i="14"/>
  <c r="AL50" i="14"/>
  <c r="AM50" i="14"/>
  <c r="AL51" i="14"/>
  <c r="AM51" i="14"/>
  <c r="AL52" i="14"/>
  <c r="AM52" i="14"/>
  <c r="AH34" i="14"/>
  <c r="AI34" i="14"/>
  <c r="AH35" i="14"/>
  <c r="AI35" i="14"/>
  <c r="AH36" i="14"/>
  <c r="AI36" i="14"/>
  <c r="AH37" i="14"/>
  <c r="AI37" i="14"/>
  <c r="AH38" i="14"/>
  <c r="AI38" i="14"/>
  <c r="AH39" i="14"/>
  <c r="AI39" i="14"/>
  <c r="AH40" i="14"/>
  <c r="AI40" i="14"/>
  <c r="AH41" i="14"/>
  <c r="AI41" i="14"/>
  <c r="AH42" i="14"/>
  <c r="AI42" i="14"/>
  <c r="AH43" i="14"/>
  <c r="AI43" i="14"/>
  <c r="AH44" i="14"/>
  <c r="AI44" i="14"/>
  <c r="AH45" i="14"/>
  <c r="AI45" i="14"/>
  <c r="AH46" i="14"/>
  <c r="AI46" i="14"/>
  <c r="AH47" i="14"/>
  <c r="AI47" i="14"/>
  <c r="AH48" i="14"/>
  <c r="AI48" i="14"/>
  <c r="AH49" i="14"/>
  <c r="AI49" i="14"/>
  <c r="AH50" i="14"/>
  <c r="AI50" i="14"/>
  <c r="AH51" i="14"/>
  <c r="AI51" i="14"/>
  <c r="AH52" i="14"/>
  <c r="AI52" i="14"/>
  <c r="AD34" i="14"/>
  <c r="AE34" i="14"/>
  <c r="AD35" i="14"/>
  <c r="AE35" i="14"/>
  <c r="AD36" i="14"/>
  <c r="AE36" i="14"/>
  <c r="AD37" i="14"/>
  <c r="AE37" i="14"/>
  <c r="AD38" i="14"/>
  <c r="AE38" i="14"/>
  <c r="AD39" i="14"/>
  <c r="AE39" i="14"/>
  <c r="AD40" i="14"/>
  <c r="AE40" i="14"/>
  <c r="AD41" i="14"/>
  <c r="AE41" i="14"/>
  <c r="AD42" i="14"/>
  <c r="AE42" i="14"/>
  <c r="AD43" i="14"/>
  <c r="AE43" i="14"/>
  <c r="AD44" i="14"/>
  <c r="AE44" i="14"/>
  <c r="AD45" i="14"/>
  <c r="AE45" i="14"/>
  <c r="AD46" i="14"/>
  <c r="AE46" i="14"/>
  <c r="AD47" i="14"/>
  <c r="AE47" i="14"/>
  <c r="AD48" i="14"/>
  <c r="AE48" i="14"/>
  <c r="AD49" i="14"/>
  <c r="AE49" i="14"/>
  <c r="AD50" i="14"/>
  <c r="AE50" i="14"/>
  <c r="AD51" i="14"/>
  <c r="AE51" i="14"/>
  <c r="AD52" i="14"/>
  <c r="AE52" i="14"/>
  <c r="Z34" i="14"/>
  <c r="AA34" i="14"/>
  <c r="Z35" i="14"/>
  <c r="AA35" i="14"/>
  <c r="Z36" i="14"/>
  <c r="AA36" i="14"/>
  <c r="Z37" i="14"/>
  <c r="AA37" i="14"/>
  <c r="Z38" i="14"/>
  <c r="AA38" i="14"/>
  <c r="Z39" i="14"/>
  <c r="AA39" i="14"/>
  <c r="Z40" i="14"/>
  <c r="AA40" i="14"/>
  <c r="Z41" i="14"/>
  <c r="AA41" i="14"/>
  <c r="Z42" i="14"/>
  <c r="AA42" i="14"/>
  <c r="Z43" i="14"/>
  <c r="AA43" i="14"/>
  <c r="Z44" i="14"/>
  <c r="AA44" i="14"/>
  <c r="Z45" i="14"/>
  <c r="AA45" i="14"/>
  <c r="Z46" i="14"/>
  <c r="AA46" i="14"/>
  <c r="Z47" i="14"/>
  <c r="AA47" i="14"/>
  <c r="Z48" i="14"/>
  <c r="AA48" i="14"/>
  <c r="Z49" i="14"/>
  <c r="AA49" i="14"/>
  <c r="Z50" i="14"/>
  <c r="AA50" i="14"/>
  <c r="Z51" i="14"/>
  <c r="AA51" i="14"/>
  <c r="Z52" i="14"/>
  <c r="AA52" i="14"/>
  <c r="V34" i="14"/>
  <c r="W34" i="14"/>
  <c r="V35" i="14"/>
  <c r="W35" i="14"/>
  <c r="V36" i="14"/>
  <c r="W36" i="14"/>
  <c r="V37" i="14"/>
  <c r="W37" i="14"/>
  <c r="V38" i="14"/>
  <c r="W38" i="14"/>
  <c r="V39" i="14"/>
  <c r="W39" i="14"/>
  <c r="V40" i="14"/>
  <c r="W40" i="14"/>
  <c r="V41" i="14"/>
  <c r="W41" i="14"/>
  <c r="V42" i="14"/>
  <c r="W42" i="14"/>
  <c r="V43" i="14"/>
  <c r="W43" i="14"/>
  <c r="V44" i="14"/>
  <c r="W44" i="14"/>
  <c r="V45" i="14"/>
  <c r="W45" i="14"/>
  <c r="V46" i="14"/>
  <c r="W46" i="14"/>
  <c r="V47" i="14"/>
  <c r="W47" i="14"/>
  <c r="V48" i="14"/>
  <c r="W48" i="14"/>
  <c r="V49" i="14"/>
  <c r="W49" i="14"/>
  <c r="V50" i="14"/>
  <c r="W50" i="14"/>
  <c r="V51" i="14"/>
  <c r="W51" i="14"/>
  <c r="V52" i="14"/>
  <c r="W52" i="14"/>
  <c r="R34" i="14"/>
  <c r="S34" i="14"/>
  <c r="T34" i="14" s="1"/>
  <c r="R35" i="14"/>
  <c r="S35" i="14"/>
  <c r="R36" i="14"/>
  <c r="S36" i="14"/>
  <c r="T36" i="14" s="1"/>
  <c r="R37" i="14"/>
  <c r="S37" i="14"/>
  <c r="R38" i="14"/>
  <c r="S38" i="14"/>
  <c r="T38" i="14" s="1"/>
  <c r="R39" i="14"/>
  <c r="S39" i="14"/>
  <c r="R40" i="14"/>
  <c r="S40" i="14"/>
  <c r="T40" i="14" s="1"/>
  <c r="R41" i="14"/>
  <c r="S41" i="14"/>
  <c r="T41" i="14" s="1"/>
  <c r="R42" i="14"/>
  <c r="S42" i="14"/>
  <c r="T42" i="14" s="1"/>
  <c r="R43" i="14"/>
  <c r="S43" i="14"/>
  <c r="R44" i="14"/>
  <c r="S44" i="14"/>
  <c r="T44" i="14" s="1"/>
  <c r="R45" i="14"/>
  <c r="S45" i="14"/>
  <c r="R46" i="14"/>
  <c r="S46" i="14"/>
  <c r="R47" i="14"/>
  <c r="S47" i="14"/>
  <c r="R48" i="14"/>
  <c r="S48" i="14"/>
  <c r="T48" i="14" s="1"/>
  <c r="R49" i="14"/>
  <c r="S49" i="14"/>
  <c r="R50" i="14"/>
  <c r="S50" i="14"/>
  <c r="T50" i="14" s="1"/>
  <c r="R51" i="14"/>
  <c r="S51" i="14"/>
  <c r="R52" i="14"/>
  <c r="S52" i="14"/>
  <c r="T52" i="14" s="1"/>
  <c r="N34" i="14"/>
  <c r="O34" i="14"/>
  <c r="N35" i="14"/>
  <c r="O35" i="14"/>
  <c r="N36" i="14"/>
  <c r="O36" i="14"/>
  <c r="N37" i="14"/>
  <c r="O37" i="14"/>
  <c r="N38" i="14"/>
  <c r="O38" i="14"/>
  <c r="N39" i="14"/>
  <c r="O39" i="14"/>
  <c r="N40" i="14"/>
  <c r="O40" i="14"/>
  <c r="N41" i="14"/>
  <c r="O41" i="14"/>
  <c r="N42" i="14"/>
  <c r="O42" i="14"/>
  <c r="N43" i="14"/>
  <c r="O43" i="14"/>
  <c r="N44" i="14"/>
  <c r="O44" i="14"/>
  <c r="N45" i="14"/>
  <c r="O45" i="14"/>
  <c r="N46" i="14"/>
  <c r="O46" i="14"/>
  <c r="N47" i="14"/>
  <c r="O47" i="14"/>
  <c r="N48" i="14"/>
  <c r="O48" i="14"/>
  <c r="N49" i="14"/>
  <c r="O49" i="14"/>
  <c r="N50" i="14"/>
  <c r="O50" i="14"/>
  <c r="N51" i="14"/>
  <c r="O51" i="14"/>
  <c r="N52" i="14"/>
  <c r="O52" i="14"/>
  <c r="J34" i="14"/>
  <c r="K34" i="14"/>
  <c r="J35" i="14"/>
  <c r="K35" i="14"/>
  <c r="J36" i="14"/>
  <c r="K36" i="14"/>
  <c r="J37" i="14"/>
  <c r="K37" i="14"/>
  <c r="J38" i="14"/>
  <c r="K38" i="14"/>
  <c r="J39" i="14"/>
  <c r="K39" i="14"/>
  <c r="J40" i="14"/>
  <c r="K40" i="14"/>
  <c r="J41" i="14"/>
  <c r="K41" i="14"/>
  <c r="J42" i="14"/>
  <c r="K42" i="14"/>
  <c r="J43" i="14"/>
  <c r="K43" i="14"/>
  <c r="J44" i="14"/>
  <c r="K44" i="14"/>
  <c r="J45" i="14"/>
  <c r="K45" i="14"/>
  <c r="J46" i="14"/>
  <c r="K46" i="14"/>
  <c r="J47" i="14"/>
  <c r="K47" i="14"/>
  <c r="J48" i="14"/>
  <c r="K48" i="14"/>
  <c r="J49" i="14"/>
  <c r="K49" i="14"/>
  <c r="J50" i="14"/>
  <c r="K50" i="14"/>
  <c r="J51" i="14"/>
  <c r="K51" i="14"/>
  <c r="J52" i="14"/>
  <c r="K52" i="14"/>
  <c r="F34" i="14"/>
  <c r="G34" i="14"/>
  <c r="F35" i="14"/>
  <c r="G35" i="14"/>
  <c r="F36" i="14"/>
  <c r="G36" i="14"/>
  <c r="F37" i="14"/>
  <c r="G37" i="14"/>
  <c r="F38" i="14"/>
  <c r="G38" i="14"/>
  <c r="F39" i="14"/>
  <c r="G39" i="14"/>
  <c r="F40" i="14"/>
  <c r="G40" i="14"/>
  <c r="F41" i="14"/>
  <c r="G41" i="14"/>
  <c r="F42" i="14"/>
  <c r="G42" i="14"/>
  <c r="F43" i="14"/>
  <c r="G43" i="14"/>
  <c r="F44" i="14"/>
  <c r="G44" i="14"/>
  <c r="F45" i="14"/>
  <c r="G45" i="14"/>
  <c r="F46" i="14"/>
  <c r="G46" i="14"/>
  <c r="F47" i="14"/>
  <c r="G47" i="14"/>
  <c r="F48" i="14"/>
  <c r="G48" i="14"/>
  <c r="F49" i="14"/>
  <c r="G49" i="14"/>
  <c r="F50" i="14"/>
  <c r="G50" i="14"/>
  <c r="F51" i="14"/>
  <c r="G51" i="14"/>
  <c r="F52" i="14"/>
  <c r="G52" i="14"/>
  <c r="B34" i="14"/>
  <c r="C34" i="14"/>
  <c r="B35" i="14"/>
  <c r="C35" i="14"/>
  <c r="B36" i="14"/>
  <c r="C36" i="14"/>
  <c r="B37" i="14"/>
  <c r="C37" i="14"/>
  <c r="B38" i="14"/>
  <c r="C38" i="14"/>
  <c r="B39" i="14"/>
  <c r="C39" i="14"/>
  <c r="B40" i="14"/>
  <c r="C40" i="14"/>
  <c r="B41" i="14"/>
  <c r="C41" i="14"/>
  <c r="B42" i="14"/>
  <c r="C42" i="14"/>
  <c r="B43" i="14"/>
  <c r="C43" i="14"/>
  <c r="B44" i="14"/>
  <c r="C44" i="14"/>
  <c r="B45" i="14"/>
  <c r="C45" i="14"/>
  <c r="B46" i="14"/>
  <c r="C46" i="14"/>
  <c r="B47" i="14"/>
  <c r="C47" i="14"/>
  <c r="B48" i="14"/>
  <c r="C48" i="14"/>
  <c r="B49" i="14"/>
  <c r="C49" i="14"/>
  <c r="B50" i="14"/>
  <c r="C50" i="14"/>
  <c r="B51" i="14"/>
  <c r="C51" i="14"/>
  <c r="B52" i="14"/>
  <c r="C52" i="14"/>
  <c r="AM33" i="14"/>
  <c r="AL33" i="14"/>
  <c r="AI33" i="14"/>
  <c r="AH33" i="14"/>
  <c r="AE33" i="14"/>
  <c r="AD33" i="14"/>
  <c r="AA33" i="14"/>
  <c r="Z33" i="14"/>
  <c r="W33" i="14"/>
  <c r="V33" i="14"/>
  <c r="O33" i="14"/>
  <c r="K33" i="14"/>
  <c r="J33" i="14"/>
  <c r="G33" i="14"/>
  <c r="F33" i="14"/>
  <c r="C33" i="14"/>
  <c r="B33" i="14"/>
  <c r="N33" i="14"/>
  <c r="T46" i="14"/>
  <c r="S33" i="14"/>
  <c r="R33" i="14"/>
  <c r="L34" i="15"/>
  <c r="K34" i="15"/>
  <c r="J34" i="15"/>
  <c r="I34" i="15"/>
  <c r="H34" i="15"/>
  <c r="F34" i="15"/>
  <c r="E34" i="15"/>
  <c r="L33" i="15"/>
  <c r="L36" i="15" s="1"/>
  <c r="K33" i="15"/>
  <c r="K36" i="15" s="1"/>
  <c r="J33" i="15"/>
  <c r="J36" i="15" s="1"/>
  <c r="I33" i="15"/>
  <c r="I36" i="15" s="1"/>
  <c r="H33" i="15"/>
  <c r="H36" i="15" s="1"/>
  <c r="G33" i="1"/>
  <c r="G36" i="1" s="1"/>
  <c r="G26" i="1"/>
  <c r="G37" i="1" s="1"/>
  <c r="T51" i="14" l="1"/>
  <c r="T49" i="14"/>
  <c r="T47" i="14"/>
  <c r="T45" i="14"/>
  <c r="T43" i="14"/>
  <c r="R13" i="14"/>
  <c r="T33" i="14"/>
  <c r="T39" i="14"/>
  <c r="AA14" i="14"/>
  <c r="AE14" i="14"/>
  <c r="AI14" i="14"/>
  <c r="W14" i="14"/>
  <c r="AM14" i="14"/>
  <c r="T37" i="14"/>
  <c r="T35" i="14"/>
  <c r="R14" i="14"/>
  <c r="AO31" i="14" l="1"/>
  <c r="AK31" i="14"/>
  <c r="AG31" i="14"/>
  <c r="AC31" i="14"/>
  <c r="Y31" i="14"/>
  <c r="U31" i="14"/>
  <c r="Q31" i="14"/>
  <c r="M31" i="14"/>
  <c r="I31" i="14"/>
  <c r="E31" i="14"/>
  <c r="A31" i="14"/>
  <c r="M34" i="10" l="1"/>
  <c r="M33" i="10"/>
  <c r="M32" i="10"/>
  <c r="M31" i="10"/>
  <c r="H34" i="10"/>
  <c r="H33" i="10"/>
  <c r="H32" i="10"/>
  <c r="H31" i="10"/>
  <c r="C34" i="10"/>
  <c r="C33" i="10"/>
  <c r="C32" i="10"/>
  <c r="C31" i="10"/>
  <c r="M26" i="10"/>
  <c r="M25" i="10"/>
  <c r="M24" i="10"/>
  <c r="M23" i="10"/>
  <c r="H26" i="10"/>
  <c r="H25" i="10"/>
  <c r="H24" i="10"/>
  <c r="H23" i="10"/>
  <c r="C26" i="10"/>
  <c r="C25" i="10"/>
  <c r="C24" i="10"/>
  <c r="C23" i="10"/>
  <c r="M18" i="10"/>
  <c r="M17" i="10"/>
  <c r="M16" i="10"/>
  <c r="M15" i="10"/>
  <c r="H18" i="10"/>
  <c r="H17" i="10"/>
  <c r="H16" i="10"/>
  <c r="H15" i="10"/>
  <c r="C18" i="10"/>
  <c r="C17" i="10"/>
  <c r="C16" i="10"/>
  <c r="C15" i="10"/>
  <c r="M10" i="10"/>
  <c r="M9" i="10"/>
  <c r="M8" i="10"/>
  <c r="M7" i="10"/>
  <c r="H10" i="10"/>
  <c r="H9" i="10"/>
  <c r="H8" i="10"/>
  <c r="H7" i="10"/>
  <c r="C10" i="10"/>
  <c r="C9" i="10"/>
  <c r="C8" i="10"/>
  <c r="C7" i="10"/>
  <c r="M28" i="10" l="1"/>
  <c r="H28" i="10"/>
  <c r="C28" i="10"/>
  <c r="M20" i="10"/>
  <c r="H20" i="10"/>
  <c r="C20" i="10"/>
  <c r="M12" i="10"/>
  <c r="H12" i="10"/>
  <c r="C12" i="10"/>
  <c r="M4" i="10"/>
  <c r="H4" i="10"/>
  <c r="H24" i="15"/>
  <c r="I24" i="15"/>
  <c r="J24" i="15"/>
  <c r="K24" i="15"/>
  <c r="L24" i="15"/>
  <c r="G24" i="1"/>
  <c r="H24" i="1"/>
  <c r="I24" i="1"/>
  <c r="J24" i="1"/>
  <c r="K24" i="1"/>
  <c r="L24" i="1"/>
  <c r="D130" i="1"/>
  <c r="E130" i="1"/>
  <c r="F130" i="1"/>
  <c r="G130" i="1"/>
  <c r="H130" i="1"/>
  <c r="I130" i="1"/>
  <c r="J130" i="1"/>
  <c r="K130" i="1"/>
  <c r="L130" i="1"/>
  <c r="D105" i="1"/>
  <c r="E105" i="1"/>
  <c r="F105" i="1"/>
  <c r="G105" i="1"/>
  <c r="H105" i="1"/>
  <c r="I105" i="1"/>
  <c r="J105" i="1"/>
  <c r="K105" i="1"/>
  <c r="L105" i="1"/>
  <c r="D80" i="1"/>
  <c r="E80" i="1"/>
  <c r="F80" i="1"/>
  <c r="G80" i="1"/>
  <c r="H80" i="1"/>
  <c r="I80" i="1"/>
  <c r="J80" i="1"/>
  <c r="K80" i="1"/>
  <c r="L80" i="1"/>
  <c r="C130" i="1"/>
  <c r="C105" i="1"/>
  <c r="C80" i="1"/>
  <c r="AQ34" i="14"/>
  <c r="AQ35" i="14"/>
  <c r="AQ36" i="14"/>
  <c r="AQ37" i="14"/>
  <c r="AQ38" i="14"/>
  <c r="AR38" i="14" s="1"/>
  <c r="AQ39" i="14"/>
  <c r="AR39" i="14" s="1"/>
  <c r="AQ40" i="14"/>
  <c r="AR40" i="14" s="1"/>
  <c r="AQ41" i="14"/>
  <c r="AR41" i="14" s="1"/>
  <c r="AQ42" i="14"/>
  <c r="AR42" i="14" s="1"/>
  <c r="AQ43" i="14"/>
  <c r="AQ44" i="14"/>
  <c r="AR44" i="14" s="1"/>
  <c r="AQ45" i="14"/>
  <c r="AR45" i="14" s="1"/>
  <c r="AQ46" i="14"/>
  <c r="AR46" i="14" s="1"/>
  <c r="AQ47" i="14"/>
  <c r="AR47" i="14" s="1"/>
  <c r="AQ48" i="14"/>
  <c r="AR48" i="14" s="1"/>
  <c r="AQ49" i="14"/>
  <c r="AR49" i="14" s="1"/>
  <c r="AQ50" i="14"/>
  <c r="AR50" i="14" s="1"/>
  <c r="AQ51" i="14"/>
  <c r="AR51" i="14" s="1"/>
  <c r="AQ52" i="14"/>
  <c r="AQ33" i="14"/>
  <c r="AP34" i="14"/>
  <c r="AP35" i="14"/>
  <c r="AP36" i="14"/>
  <c r="AP37" i="14"/>
  <c r="AP38" i="14"/>
  <c r="AP39" i="14"/>
  <c r="AP40" i="14"/>
  <c r="AP41" i="14"/>
  <c r="AP42" i="14"/>
  <c r="AP43" i="14"/>
  <c r="AP44" i="14"/>
  <c r="AP45" i="14"/>
  <c r="AP46" i="14"/>
  <c r="AP47" i="14"/>
  <c r="AP48" i="14"/>
  <c r="AP49" i="14"/>
  <c r="AP50" i="14"/>
  <c r="AP51" i="14"/>
  <c r="AP52" i="14"/>
  <c r="AP33" i="14"/>
  <c r="AN35" i="14"/>
  <c r="AN39" i="14"/>
  <c r="AN43" i="14"/>
  <c r="AN47" i="14"/>
  <c r="AN51" i="14"/>
  <c r="AJ35" i="14"/>
  <c r="AJ39" i="14"/>
  <c r="AJ43" i="14"/>
  <c r="AJ47" i="14"/>
  <c r="AJ51" i="14"/>
  <c r="AJ33" i="14"/>
  <c r="AF35" i="14"/>
  <c r="AF37" i="14"/>
  <c r="AF39" i="14"/>
  <c r="AF41" i="14"/>
  <c r="AF43" i="14"/>
  <c r="AF45" i="14"/>
  <c r="AF47" i="14"/>
  <c r="AF49" i="14"/>
  <c r="AF51" i="14"/>
  <c r="AF33" i="14"/>
  <c r="AB35" i="14"/>
  <c r="AB37" i="14"/>
  <c r="AB39" i="14"/>
  <c r="AB41" i="14"/>
  <c r="AB43" i="14"/>
  <c r="AB45" i="14"/>
  <c r="AB47" i="14"/>
  <c r="AB49" i="14"/>
  <c r="AB51" i="14"/>
  <c r="AB33" i="14"/>
  <c r="X35" i="14"/>
  <c r="X37" i="14"/>
  <c r="X39" i="14"/>
  <c r="X41" i="14"/>
  <c r="X43" i="14"/>
  <c r="X45" i="14"/>
  <c r="X47" i="14"/>
  <c r="X49" i="14"/>
  <c r="X51" i="14"/>
  <c r="X33" i="14"/>
  <c r="AK28" i="14"/>
  <c r="AG28" i="14"/>
  <c r="AC28" i="14"/>
  <c r="Y28" i="14"/>
  <c r="U28" i="14"/>
  <c r="Q28" i="14"/>
  <c r="AK18" i="14"/>
  <c r="AG18" i="14"/>
  <c r="AG27" i="14" s="1"/>
  <c r="AC18" i="14"/>
  <c r="Y18" i="14"/>
  <c r="U18" i="14"/>
  <c r="U27" i="14" s="1"/>
  <c r="Q18" i="14"/>
  <c r="Q27" i="14" s="1"/>
  <c r="AK10" i="14"/>
  <c r="AK26" i="14" s="1"/>
  <c r="AG10" i="14"/>
  <c r="AC10" i="14"/>
  <c r="AC26" i="14" s="1"/>
  <c r="Y10" i="14"/>
  <c r="Y26" i="14" s="1"/>
  <c r="U10" i="14"/>
  <c r="U26" i="14" s="1"/>
  <c r="Q10" i="14"/>
  <c r="P53" i="1"/>
  <c r="P53" i="15"/>
  <c r="AK17" i="14"/>
  <c r="AG17" i="14"/>
  <c r="AC17" i="14"/>
  <c r="Y17" i="14"/>
  <c r="U17" i="14"/>
  <c r="Q17" i="14"/>
  <c r="M17" i="14"/>
  <c r="I17" i="14"/>
  <c r="E17" i="14"/>
  <c r="AA7" i="14"/>
  <c r="AK4" i="14"/>
  <c r="AG4" i="14"/>
  <c r="AH2" i="14"/>
  <c r="AL2" i="14"/>
  <c r="AP2" i="14"/>
  <c r="AP1" i="14"/>
  <c r="AL1" i="14"/>
  <c r="AH1" i="14"/>
  <c r="AR52" i="14"/>
  <c r="AR43" i="14"/>
  <c r="AO22" i="14"/>
  <c r="AO21" i="14"/>
  <c r="AO27" i="14"/>
  <c r="AO26" i="14"/>
  <c r="AN52" i="14"/>
  <c r="AN50" i="14"/>
  <c r="AN49" i="14"/>
  <c r="AN48" i="14"/>
  <c r="AN46" i="14"/>
  <c r="AN45" i="14"/>
  <c r="AN44" i="14"/>
  <c r="AN42" i="14"/>
  <c r="AN41" i="14"/>
  <c r="AN40" i="14"/>
  <c r="AN38" i="14"/>
  <c r="AN37" i="14"/>
  <c r="AN36" i="14"/>
  <c r="AN34" i="14"/>
  <c r="AN33" i="14"/>
  <c r="AK22" i="14"/>
  <c r="AK21" i="14"/>
  <c r="AK27" i="14"/>
  <c r="AJ52" i="14"/>
  <c r="AJ50" i="14"/>
  <c r="AJ49" i="14"/>
  <c r="AJ48" i="14"/>
  <c r="AJ46" i="14"/>
  <c r="AJ45" i="14"/>
  <c r="AJ44" i="14"/>
  <c r="AJ42" i="14"/>
  <c r="AJ41" i="14"/>
  <c r="AJ40" i="14"/>
  <c r="AJ38" i="14"/>
  <c r="AJ37" i="14"/>
  <c r="AJ36" i="14"/>
  <c r="AJ34" i="14"/>
  <c r="AG22" i="14"/>
  <c r="AG21" i="14"/>
  <c r="AG26" i="14"/>
  <c r="AC4" i="14"/>
  <c r="Y4" i="14"/>
  <c r="U4" i="14"/>
  <c r="R2" i="14"/>
  <c r="V2" i="14"/>
  <c r="Z2" i="14"/>
  <c r="AD2" i="14"/>
  <c r="AD1" i="14"/>
  <c r="Z1" i="14"/>
  <c r="V1" i="14"/>
  <c r="Q4" i="14"/>
  <c r="R1" i="14"/>
  <c r="AF52" i="14"/>
  <c r="AF50" i="14"/>
  <c r="AF48" i="14"/>
  <c r="AF46" i="14"/>
  <c r="AF44" i="14"/>
  <c r="AF42" i="14"/>
  <c r="AF40" i="14"/>
  <c r="AF38" i="14"/>
  <c r="AF36" i="14"/>
  <c r="AF34" i="14"/>
  <c r="AC22" i="14"/>
  <c r="AC21" i="14"/>
  <c r="AC27" i="14"/>
  <c r="AB52" i="14"/>
  <c r="AB50" i="14"/>
  <c r="AB48" i="14"/>
  <c r="AB46" i="14"/>
  <c r="AB44" i="14"/>
  <c r="AB42" i="14"/>
  <c r="AB40" i="14"/>
  <c r="AB38" i="14"/>
  <c r="AB36" i="14"/>
  <c r="AB34" i="14"/>
  <c r="Y22" i="14"/>
  <c r="Y21" i="14"/>
  <c r="Y27" i="14"/>
  <c r="X52" i="14"/>
  <c r="X50" i="14"/>
  <c r="X48" i="14"/>
  <c r="X46" i="14"/>
  <c r="X44" i="14"/>
  <c r="X42" i="14"/>
  <c r="X40" i="14"/>
  <c r="X38" i="14"/>
  <c r="X36" i="14"/>
  <c r="X34" i="14"/>
  <c r="U22" i="14"/>
  <c r="U21" i="14"/>
  <c r="Q22" i="14"/>
  <c r="Q21" i="14"/>
  <c r="Q26" i="14"/>
  <c r="N2" i="14"/>
  <c r="N1" i="14"/>
  <c r="J2" i="14"/>
  <c r="J1" i="14"/>
  <c r="F2" i="14"/>
  <c r="F1" i="14"/>
  <c r="B2" i="14"/>
  <c r="B1" i="14"/>
  <c r="C43" i="15"/>
  <c r="D43" i="15"/>
  <c r="E43" i="15"/>
  <c r="F43" i="15"/>
  <c r="G43" i="15"/>
  <c r="H43" i="15"/>
  <c r="I43" i="15"/>
  <c r="J43" i="15"/>
  <c r="K43" i="15"/>
  <c r="L43" i="15"/>
  <c r="C44" i="15"/>
  <c r="D44" i="15"/>
  <c r="E44" i="15"/>
  <c r="F44" i="15"/>
  <c r="G44" i="15"/>
  <c r="H44" i="15"/>
  <c r="I44" i="15"/>
  <c r="J44" i="15"/>
  <c r="K44" i="15"/>
  <c r="L44" i="15"/>
  <c r="C45" i="15"/>
  <c r="D45" i="15"/>
  <c r="E45" i="15"/>
  <c r="F45" i="15"/>
  <c r="G45" i="15"/>
  <c r="H45" i="15"/>
  <c r="I45" i="15"/>
  <c r="J45" i="15"/>
  <c r="K45" i="15"/>
  <c r="L45" i="15"/>
  <c r="S7" i="14"/>
  <c r="W7" i="14"/>
  <c r="AE7" i="14"/>
  <c r="AI7" i="14"/>
  <c r="AM7" i="14"/>
  <c r="C50" i="15"/>
  <c r="C55" i="15" s="1"/>
  <c r="D50" i="15"/>
  <c r="D55" i="15" s="1"/>
  <c r="E50" i="15"/>
  <c r="F50" i="15"/>
  <c r="F55" i="15" s="1"/>
  <c r="G50" i="15"/>
  <c r="G55" i="15" s="1"/>
  <c r="H50" i="15"/>
  <c r="I50" i="15"/>
  <c r="J50" i="15"/>
  <c r="J55" i="15" s="1"/>
  <c r="K50" i="15"/>
  <c r="K55" i="15" s="1"/>
  <c r="L50" i="15"/>
  <c r="E55" i="15"/>
  <c r="H55" i="15"/>
  <c r="I55" i="15"/>
  <c r="L55" i="15"/>
  <c r="H33" i="1"/>
  <c r="V14" i="14" s="1"/>
  <c r="I33" i="1"/>
  <c r="Z14" i="14" s="1"/>
  <c r="J33" i="1"/>
  <c r="AD14" i="14" s="1"/>
  <c r="K33" i="1"/>
  <c r="AH14" i="14" s="1"/>
  <c r="L33" i="1"/>
  <c r="AL14" i="14" s="1"/>
  <c r="AR33" i="14" l="1"/>
  <c r="AR36" i="14"/>
  <c r="AR35" i="14"/>
  <c r="AR37" i="14"/>
  <c r="AR34" i="14"/>
  <c r="AD22" i="14"/>
  <c r="J36" i="1"/>
  <c r="Z22" i="14"/>
  <c r="I36" i="1"/>
  <c r="AL22" i="14"/>
  <c r="L36" i="1"/>
  <c r="X14" i="14"/>
  <c r="H36" i="1"/>
  <c r="AH22" i="14"/>
  <c r="K36" i="1"/>
  <c r="M50" i="15"/>
  <c r="L51" i="15"/>
  <c r="L52" i="15" s="1"/>
  <c r="J51" i="15"/>
  <c r="J52" i="15" s="1"/>
  <c r="I51" i="15"/>
  <c r="I52" i="15" s="1"/>
  <c r="H51" i="15"/>
  <c r="H52" i="15" s="1"/>
  <c r="K51" i="15"/>
  <c r="K52" i="15" s="1"/>
  <c r="R22" i="14"/>
  <c r="AM22" i="14"/>
  <c r="AI22" i="14"/>
  <c r="AM16" i="14"/>
  <c r="AM17" i="14" s="1"/>
  <c r="AN14" i="14"/>
  <c r="AL16" i="14"/>
  <c r="AL17" i="14" s="1"/>
  <c r="AI16" i="14"/>
  <c r="AI17" i="14" s="1"/>
  <c r="AH16" i="14"/>
  <c r="AH17" i="14" s="1"/>
  <c r="AE16" i="14"/>
  <c r="AE17" i="14" s="1"/>
  <c r="AE22" i="14"/>
  <c r="AF14" i="14"/>
  <c r="AD16" i="14"/>
  <c r="AD17" i="14" s="1"/>
  <c r="AA16" i="14"/>
  <c r="AA17" i="14" s="1"/>
  <c r="AA22" i="14"/>
  <c r="AB14" i="14"/>
  <c r="Z16" i="14"/>
  <c r="Z17" i="14" s="1"/>
  <c r="W16" i="14"/>
  <c r="W17" i="14" s="1"/>
  <c r="W22" i="14"/>
  <c r="V16" i="14"/>
  <c r="V17" i="14" s="1"/>
  <c r="R16" i="14"/>
  <c r="R17" i="14" s="1"/>
  <c r="M55" i="15"/>
  <c r="C2" i="1"/>
  <c r="C2" i="15"/>
  <c r="M28" i="14"/>
  <c r="M18" i="14"/>
  <c r="M27" i="14" s="1"/>
  <c r="M10" i="14"/>
  <c r="M26" i="14" s="1"/>
  <c r="I28" i="14"/>
  <c r="I18" i="14"/>
  <c r="I27" i="14" s="1"/>
  <c r="I10" i="14"/>
  <c r="E28" i="14"/>
  <c r="E18" i="14"/>
  <c r="E27" i="14" s="1"/>
  <c r="E10" i="14"/>
  <c r="E26" i="14" s="1"/>
  <c r="P34" i="14"/>
  <c r="P35" i="14"/>
  <c r="P36" i="14"/>
  <c r="P37" i="14"/>
  <c r="P38" i="14"/>
  <c r="P39" i="14"/>
  <c r="P40" i="14"/>
  <c r="P41" i="14"/>
  <c r="P42" i="14"/>
  <c r="P43" i="14"/>
  <c r="P44" i="14"/>
  <c r="P45" i="14"/>
  <c r="P46" i="14"/>
  <c r="P47" i="14"/>
  <c r="P48" i="14"/>
  <c r="P49" i="14"/>
  <c r="P50" i="14"/>
  <c r="P51" i="14"/>
  <c r="P52" i="14"/>
  <c r="P33" i="14"/>
  <c r="O7" i="14"/>
  <c r="M4" i="14"/>
  <c r="M22" i="14"/>
  <c r="M21" i="14"/>
  <c r="D3" i="15"/>
  <c r="E3" i="15"/>
  <c r="F3" i="15"/>
  <c r="G3" i="15"/>
  <c r="H3" i="15"/>
  <c r="I3" i="15"/>
  <c r="J3" i="15"/>
  <c r="K3" i="15"/>
  <c r="L3" i="15"/>
  <c r="C3" i="15"/>
  <c r="H52" i="14"/>
  <c r="H35" i="14"/>
  <c r="H36" i="14"/>
  <c r="H37" i="14"/>
  <c r="H38" i="14"/>
  <c r="H39" i="14"/>
  <c r="H41" i="14"/>
  <c r="H42" i="14"/>
  <c r="H43" i="14"/>
  <c r="H45" i="14"/>
  <c r="H46" i="14"/>
  <c r="H47" i="14"/>
  <c r="H49" i="14"/>
  <c r="H50" i="14"/>
  <c r="H51" i="14"/>
  <c r="H33" i="14"/>
  <c r="L52" i="14"/>
  <c r="L34" i="14"/>
  <c r="L35" i="14"/>
  <c r="L36" i="14"/>
  <c r="L37" i="14"/>
  <c r="L38" i="14"/>
  <c r="L39" i="14"/>
  <c r="L40" i="14"/>
  <c r="L41" i="14"/>
  <c r="L42" i="14"/>
  <c r="L43" i="14"/>
  <c r="L44" i="14"/>
  <c r="L45" i="14"/>
  <c r="L46" i="14"/>
  <c r="L47" i="14"/>
  <c r="L48" i="14"/>
  <c r="L49" i="14"/>
  <c r="L50" i="14"/>
  <c r="L51" i="14"/>
  <c r="L33" i="14"/>
  <c r="K7" i="14"/>
  <c r="I4" i="14"/>
  <c r="I22" i="14"/>
  <c r="I21" i="14"/>
  <c r="I26" i="14"/>
  <c r="E4" i="14"/>
  <c r="G7" i="14"/>
  <c r="H48" i="14"/>
  <c r="H44" i="14"/>
  <c r="H40" i="14"/>
  <c r="H34" i="14"/>
  <c r="E22" i="14"/>
  <c r="E21" i="14"/>
  <c r="D38" i="14"/>
  <c r="D39" i="14"/>
  <c r="D40" i="14"/>
  <c r="D41" i="14"/>
  <c r="D42" i="14"/>
  <c r="D43" i="14"/>
  <c r="D44" i="14"/>
  <c r="D45" i="14"/>
  <c r="D46" i="14"/>
  <c r="D47" i="14"/>
  <c r="D48" i="14"/>
  <c r="D49" i="14"/>
  <c r="D50" i="14"/>
  <c r="D51" i="14"/>
  <c r="D52" i="14"/>
  <c r="A21" i="14"/>
  <c r="A22" i="14"/>
  <c r="A17" i="14"/>
  <c r="A28" i="14"/>
  <c r="A4" i="14"/>
  <c r="A10" i="14"/>
  <c r="A26" i="14" s="1"/>
  <c r="A18" i="14"/>
  <c r="A27" i="14" s="1"/>
  <c r="C7" i="14"/>
  <c r="M25" i="13"/>
  <c r="L25" i="13"/>
  <c r="K25" i="13"/>
  <c r="J25" i="13"/>
  <c r="I25" i="13"/>
  <c r="H25" i="13"/>
  <c r="G25" i="13"/>
  <c r="F25" i="13"/>
  <c r="E25" i="13"/>
  <c r="D25" i="13"/>
  <c r="C25" i="13"/>
  <c r="B25" i="13"/>
  <c r="M24" i="13"/>
  <c r="L24" i="13"/>
  <c r="K24" i="13"/>
  <c r="J24" i="13"/>
  <c r="I24" i="13"/>
  <c r="H24" i="13"/>
  <c r="G24" i="13"/>
  <c r="F24" i="13"/>
  <c r="E24" i="13"/>
  <c r="D24" i="13"/>
  <c r="C24" i="13"/>
  <c r="B24" i="13"/>
  <c r="M23" i="13"/>
  <c r="L23" i="13"/>
  <c r="K23" i="13"/>
  <c r="J23" i="13"/>
  <c r="I23" i="13"/>
  <c r="H23" i="13"/>
  <c r="G23" i="13"/>
  <c r="F23" i="13"/>
  <c r="E23" i="13"/>
  <c r="D23" i="13"/>
  <c r="C23" i="13"/>
  <c r="B23" i="13"/>
  <c r="M22" i="13"/>
  <c r="L22" i="13"/>
  <c r="K22" i="13"/>
  <c r="J22" i="13"/>
  <c r="I22" i="13"/>
  <c r="H22" i="13"/>
  <c r="G22" i="13"/>
  <c r="F22" i="13"/>
  <c r="E22" i="13"/>
  <c r="D22" i="13"/>
  <c r="C22" i="13"/>
  <c r="B22" i="13"/>
  <c r="M21" i="13"/>
  <c r="L21" i="13"/>
  <c r="K21" i="13"/>
  <c r="J21" i="13"/>
  <c r="I21" i="13"/>
  <c r="H21" i="13"/>
  <c r="G21" i="13"/>
  <c r="F21" i="13"/>
  <c r="E21" i="13"/>
  <c r="D21" i="13"/>
  <c r="C21" i="13"/>
  <c r="B21" i="13"/>
  <c r="M20" i="13"/>
  <c r="L20" i="13"/>
  <c r="K20" i="13"/>
  <c r="J20" i="13"/>
  <c r="I20" i="13"/>
  <c r="H20" i="13"/>
  <c r="G20" i="13"/>
  <c r="F20" i="13"/>
  <c r="E20" i="13"/>
  <c r="D20" i="13"/>
  <c r="C20" i="13"/>
  <c r="B20" i="13"/>
  <c r="M19" i="13"/>
  <c r="L19" i="13"/>
  <c r="K19" i="13"/>
  <c r="J19" i="13"/>
  <c r="I19" i="13"/>
  <c r="H19" i="13"/>
  <c r="G19" i="13"/>
  <c r="F19" i="13"/>
  <c r="E19" i="13"/>
  <c r="D19" i="13"/>
  <c r="C19" i="13"/>
  <c r="B19" i="13"/>
  <c r="M18" i="13"/>
  <c r="L18" i="13"/>
  <c r="K18" i="13"/>
  <c r="J18" i="13"/>
  <c r="I18" i="13"/>
  <c r="H18" i="13"/>
  <c r="G18" i="13"/>
  <c r="F18" i="13"/>
  <c r="E18" i="13"/>
  <c r="D18" i="13"/>
  <c r="C18" i="13"/>
  <c r="B18" i="13"/>
  <c r="M17" i="13"/>
  <c r="L17" i="13"/>
  <c r="K17" i="13"/>
  <c r="J17" i="13"/>
  <c r="I17" i="13"/>
  <c r="H17" i="13"/>
  <c r="G17" i="13"/>
  <c r="F17" i="13"/>
  <c r="E17" i="13"/>
  <c r="D17" i="13"/>
  <c r="C17" i="13"/>
  <c r="B17" i="13"/>
  <c r="M16" i="13"/>
  <c r="L16" i="13"/>
  <c r="K16" i="13"/>
  <c r="J16" i="13"/>
  <c r="I16" i="13"/>
  <c r="H16" i="13"/>
  <c r="G16" i="13"/>
  <c r="F16" i="13"/>
  <c r="E16" i="13"/>
  <c r="D16" i="13"/>
  <c r="C16" i="13"/>
  <c r="B16" i="13"/>
  <c r="M15" i="13"/>
  <c r="L15" i="13"/>
  <c r="K15" i="13"/>
  <c r="J15" i="13"/>
  <c r="I15" i="13"/>
  <c r="H15" i="13"/>
  <c r="G15" i="13"/>
  <c r="F15" i="13"/>
  <c r="E15" i="13"/>
  <c r="D15" i="13"/>
  <c r="C15" i="13"/>
  <c r="B15" i="13"/>
  <c r="M14" i="13"/>
  <c r="L14" i="13"/>
  <c r="K14" i="13"/>
  <c r="J14" i="13"/>
  <c r="I14" i="13"/>
  <c r="H14" i="13"/>
  <c r="G14" i="13"/>
  <c r="F14" i="13"/>
  <c r="E14" i="13"/>
  <c r="D14" i="13"/>
  <c r="C14" i="13"/>
  <c r="B14" i="13"/>
  <c r="M13" i="13"/>
  <c r="L13" i="13"/>
  <c r="K13" i="13"/>
  <c r="J13" i="13"/>
  <c r="I13" i="13"/>
  <c r="H13" i="13"/>
  <c r="G13" i="13"/>
  <c r="F13" i="13"/>
  <c r="E13" i="13"/>
  <c r="D13" i="13"/>
  <c r="C13" i="13"/>
  <c r="B13" i="13"/>
  <c r="M12" i="13"/>
  <c r="L12" i="13"/>
  <c r="K12" i="13"/>
  <c r="I12" i="13"/>
  <c r="G12" i="13"/>
  <c r="C12" i="13"/>
  <c r="B12" i="13"/>
  <c r="D12" i="13" s="1"/>
  <c r="M11" i="13"/>
  <c r="L11" i="13"/>
  <c r="K11" i="13"/>
  <c r="I11" i="13"/>
  <c r="G11" i="13"/>
  <c r="C11" i="13"/>
  <c r="B11" i="13"/>
  <c r="D11" i="13" s="1"/>
  <c r="M10" i="13"/>
  <c r="I10" i="13"/>
  <c r="G10" i="13"/>
  <c r="C10" i="13"/>
  <c r="B10" i="13"/>
  <c r="D10" i="13" s="1"/>
  <c r="M9" i="13"/>
  <c r="L9" i="13"/>
  <c r="K9" i="13"/>
  <c r="G9" i="13"/>
  <c r="C9" i="13"/>
  <c r="B9" i="13"/>
  <c r="D9" i="13" s="1"/>
  <c r="M8" i="13"/>
  <c r="L8" i="13"/>
  <c r="K8" i="13"/>
  <c r="I8" i="13"/>
  <c r="G8" i="13"/>
  <c r="C8" i="13"/>
  <c r="B8" i="13"/>
  <c r="D8" i="13" s="1"/>
  <c r="M7" i="13"/>
  <c r="L7" i="13"/>
  <c r="K7" i="13"/>
  <c r="G7" i="13"/>
  <c r="C7" i="13"/>
  <c r="B7" i="13"/>
  <c r="D7" i="13" s="1"/>
  <c r="M6" i="13"/>
  <c r="L6" i="13"/>
  <c r="K6" i="13"/>
  <c r="G6" i="13"/>
  <c r="C6" i="13"/>
  <c r="B6" i="13"/>
  <c r="D6" i="13" s="1"/>
  <c r="A25" i="13"/>
  <c r="A24" i="13"/>
  <c r="A23" i="13"/>
  <c r="A22" i="13"/>
  <c r="A21" i="13"/>
  <c r="A20" i="13"/>
  <c r="A19" i="13"/>
  <c r="A18" i="13"/>
  <c r="A17" i="13"/>
  <c r="A16" i="13"/>
  <c r="A15" i="13"/>
  <c r="A14" i="13"/>
  <c r="A13" i="13"/>
  <c r="A12" i="13"/>
  <c r="A11" i="13"/>
  <c r="A10" i="13"/>
  <c r="A9" i="13"/>
  <c r="A8" i="13"/>
  <c r="A7" i="13"/>
  <c r="A6" i="13"/>
  <c r="A3" i="13"/>
  <c r="L150" i="15"/>
  <c r="K150" i="15"/>
  <c r="J150" i="15"/>
  <c r="I150" i="15"/>
  <c r="H150" i="15"/>
  <c r="G150" i="15"/>
  <c r="F150" i="15"/>
  <c r="E150" i="15"/>
  <c r="D150" i="15"/>
  <c r="C150" i="15"/>
  <c r="L149" i="15"/>
  <c r="K149" i="15"/>
  <c r="J149" i="15"/>
  <c r="I149" i="15"/>
  <c r="H149" i="15"/>
  <c r="G149" i="15"/>
  <c r="F149" i="15"/>
  <c r="E149" i="15"/>
  <c r="D149" i="15"/>
  <c r="C149" i="15"/>
  <c r="L148" i="15"/>
  <c r="K148" i="15"/>
  <c r="J148" i="15"/>
  <c r="I148" i="15"/>
  <c r="H148" i="15"/>
  <c r="G148" i="15"/>
  <c r="F148" i="15"/>
  <c r="E148" i="15"/>
  <c r="D148" i="15"/>
  <c r="C148" i="15"/>
  <c r="L147" i="15"/>
  <c r="K147" i="15"/>
  <c r="J147" i="15"/>
  <c r="I147" i="15"/>
  <c r="H147" i="15"/>
  <c r="G147" i="15"/>
  <c r="F147" i="15"/>
  <c r="E147" i="15"/>
  <c r="D147" i="15"/>
  <c r="C147" i="15"/>
  <c r="L146" i="15"/>
  <c r="K146" i="15"/>
  <c r="J146" i="15"/>
  <c r="I146" i="15"/>
  <c r="H146" i="15"/>
  <c r="G146" i="15"/>
  <c r="F146" i="15"/>
  <c r="E146" i="15"/>
  <c r="D146" i="15"/>
  <c r="C146" i="15"/>
  <c r="L145" i="15"/>
  <c r="K145" i="15"/>
  <c r="J145" i="15"/>
  <c r="I145" i="15"/>
  <c r="H145" i="15"/>
  <c r="G145" i="15"/>
  <c r="F145" i="15"/>
  <c r="E145" i="15"/>
  <c r="D145" i="15"/>
  <c r="C145" i="15"/>
  <c r="L144" i="15"/>
  <c r="K144" i="15"/>
  <c r="J144" i="15"/>
  <c r="I144" i="15"/>
  <c r="H144" i="15"/>
  <c r="G144" i="15"/>
  <c r="F144" i="15"/>
  <c r="E144" i="15"/>
  <c r="D144" i="15"/>
  <c r="C144" i="15"/>
  <c r="L143" i="15"/>
  <c r="K143" i="15"/>
  <c r="J143" i="15"/>
  <c r="I143" i="15"/>
  <c r="H143" i="15"/>
  <c r="G143" i="15"/>
  <c r="F143" i="15"/>
  <c r="E143" i="15"/>
  <c r="D143" i="15"/>
  <c r="C143" i="15"/>
  <c r="L142" i="15"/>
  <c r="K142" i="15"/>
  <c r="J142" i="15"/>
  <c r="I142" i="15"/>
  <c r="H142" i="15"/>
  <c r="G142" i="15"/>
  <c r="F142" i="15"/>
  <c r="E142" i="15"/>
  <c r="D142" i="15"/>
  <c r="C142" i="15"/>
  <c r="L141" i="15"/>
  <c r="K141" i="15"/>
  <c r="J141" i="15"/>
  <c r="I141" i="15"/>
  <c r="H141" i="15"/>
  <c r="G141" i="15"/>
  <c r="F141" i="15"/>
  <c r="E141" i="15"/>
  <c r="D141" i="15"/>
  <c r="C141" i="15"/>
  <c r="L140" i="15"/>
  <c r="K140" i="15"/>
  <c r="J140" i="15"/>
  <c r="I140" i="15"/>
  <c r="H140" i="15"/>
  <c r="G140" i="15"/>
  <c r="F140" i="15"/>
  <c r="E140" i="15"/>
  <c r="D140" i="15"/>
  <c r="C140" i="15"/>
  <c r="L139" i="15"/>
  <c r="K139" i="15"/>
  <c r="J139" i="15"/>
  <c r="I139" i="15"/>
  <c r="H139" i="15"/>
  <c r="G139" i="15"/>
  <c r="F139" i="15"/>
  <c r="E139" i="15"/>
  <c r="D139" i="15"/>
  <c r="C139" i="15"/>
  <c r="L138" i="15"/>
  <c r="K138" i="15"/>
  <c r="J138" i="15"/>
  <c r="I138" i="15"/>
  <c r="H138" i="15"/>
  <c r="G138" i="15"/>
  <c r="F138" i="15"/>
  <c r="E138" i="15"/>
  <c r="D138" i="15"/>
  <c r="C138" i="15"/>
  <c r="L137" i="15"/>
  <c r="K137" i="15"/>
  <c r="J137" i="15"/>
  <c r="I137" i="15"/>
  <c r="H137" i="15"/>
  <c r="G137" i="15"/>
  <c r="F137" i="15"/>
  <c r="E137" i="15"/>
  <c r="D137" i="15"/>
  <c r="C137" i="15"/>
  <c r="L136" i="15"/>
  <c r="K136" i="15"/>
  <c r="J136" i="15"/>
  <c r="I136" i="15"/>
  <c r="H136" i="15"/>
  <c r="G136" i="15"/>
  <c r="F136" i="15"/>
  <c r="E136" i="15"/>
  <c r="D136" i="15"/>
  <c r="C136" i="15"/>
  <c r="L135" i="15"/>
  <c r="K135" i="15"/>
  <c r="J135" i="15"/>
  <c r="I135" i="15"/>
  <c r="H135" i="15"/>
  <c r="G135" i="15"/>
  <c r="F135" i="15"/>
  <c r="E135" i="15"/>
  <c r="D135" i="15"/>
  <c r="C135" i="15"/>
  <c r="L134" i="15"/>
  <c r="K134" i="15"/>
  <c r="J134" i="15"/>
  <c r="I134" i="15"/>
  <c r="H134" i="15"/>
  <c r="G134" i="15"/>
  <c r="F134" i="15"/>
  <c r="E134" i="15"/>
  <c r="D134" i="15"/>
  <c r="C134" i="15"/>
  <c r="L133" i="15"/>
  <c r="K133" i="15"/>
  <c r="J133" i="15"/>
  <c r="I133" i="15"/>
  <c r="H133" i="15"/>
  <c r="G133" i="15"/>
  <c r="F133" i="15"/>
  <c r="E133" i="15"/>
  <c r="D133" i="15"/>
  <c r="C133" i="15"/>
  <c r="L132" i="15"/>
  <c r="K132" i="15"/>
  <c r="J132" i="15"/>
  <c r="I132" i="15"/>
  <c r="H132" i="15"/>
  <c r="G132" i="15"/>
  <c r="F132" i="15"/>
  <c r="E132" i="15"/>
  <c r="D132" i="15"/>
  <c r="C132" i="15"/>
  <c r="L131" i="15"/>
  <c r="K131" i="15"/>
  <c r="J131" i="15"/>
  <c r="I131" i="15"/>
  <c r="H131" i="15"/>
  <c r="G131" i="15"/>
  <c r="F131" i="15"/>
  <c r="E131" i="15"/>
  <c r="D131" i="15"/>
  <c r="C131" i="15"/>
  <c r="L125" i="15"/>
  <c r="K125" i="15"/>
  <c r="J125" i="15"/>
  <c r="I125" i="15"/>
  <c r="H125" i="15"/>
  <c r="G125" i="15"/>
  <c r="F125" i="15"/>
  <c r="E125" i="15"/>
  <c r="D125" i="15"/>
  <c r="C125" i="15"/>
  <c r="L124" i="15"/>
  <c r="K124" i="15"/>
  <c r="J124" i="15"/>
  <c r="I124" i="15"/>
  <c r="H124" i="15"/>
  <c r="G124" i="15"/>
  <c r="F124" i="15"/>
  <c r="E124" i="15"/>
  <c r="D124" i="15"/>
  <c r="C124" i="15"/>
  <c r="L123" i="15"/>
  <c r="K123" i="15"/>
  <c r="J123" i="15"/>
  <c r="I123" i="15"/>
  <c r="H123" i="15"/>
  <c r="G123" i="15"/>
  <c r="F123" i="15"/>
  <c r="E123" i="15"/>
  <c r="D123" i="15"/>
  <c r="C123" i="15"/>
  <c r="L122" i="15"/>
  <c r="K122" i="15"/>
  <c r="J122" i="15"/>
  <c r="I122" i="15"/>
  <c r="H122" i="15"/>
  <c r="G122" i="15"/>
  <c r="F122" i="15"/>
  <c r="E122" i="15"/>
  <c r="D122" i="15"/>
  <c r="C122" i="15"/>
  <c r="L121" i="15"/>
  <c r="K121" i="15"/>
  <c r="J121" i="15"/>
  <c r="I121" i="15"/>
  <c r="H121" i="15"/>
  <c r="G121" i="15"/>
  <c r="F121" i="15"/>
  <c r="E121" i="15"/>
  <c r="D121" i="15"/>
  <c r="C121" i="15"/>
  <c r="L120" i="15"/>
  <c r="K120" i="15"/>
  <c r="J120" i="15"/>
  <c r="I120" i="15"/>
  <c r="H120" i="15"/>
  <c r="G120" i="15"/>
  <c r="F120" i="15"/>
  <c r="E120" i="15"/>
  <c r="D120" i="15"/>
  <c r="C120" i="15"/>
  <c r="L119" i="15"/>
  <c r="K119" i="15"/>
  <c r="J119" i="15"/>
  <c r="I119" i="15"/>
  <c r="H119" i="15"/>
  <c r="G119" i="15"/>
  <c r="F119" i="15"/>
  <c r="E119" i="15"/>
  <c r="D119" i="15"/>
  <c r="C119" i="15"/>
  <c r="L118" i="15"/>
  <c r="K118" i="15"/>
  <c r="J118" i="15"/>
  <c r="I118" i="15"/>
  <c r="H118" i="15"/>
  <c r="G118" i="15"/>
  <c r="F118" i="15"/>
  <c r="E118" i="15"/>
  <c r="D118" i="15"/>
  <c r="C118" i="15"/>
  <c r="L117" i="15"/>
  <c r="K117" i="15"/>
  <c r="J117" i="15"/>
  <c r="I117" i="15"/>
  <c r="H117" i="15"/>
  <c r="G117" i="15"/>
  <c r="F117" i="15"/>
  <c r="E117" i="15"/>
  <c r="D117" i="15"/>
  <c r="C117" i="15"/>
  <c r="L116" i="15"/>
  <c r="K116" i="15"/>
  <c r="J116" i="15"/>
  <c r="I116" i="15"/>
  <c r="H116" i="15"/>
  <c r="G116" i="15"/>
  <c r="F116" i="15"/>
  <c r="E116" i="15"/>
  <c r="D116" i="15"/>
  <c r="C116" i="15"/>
  <c r="L115" i="15"/>
  <c r="K115" i="15"/>
  <c r="J115" i="15"/>
  <c r="I115" i="15"/>
  <c r="H115" i="15"/>
  <c r="G115" i="15"/>
  <c r="F115" i="15"/>
  <c r="E115" i="15"/>
  <c r="D115" i="15"/>
  <c r="C115" i="15"/>
  <c r="L114" i="15"/>
  <c r="K114" i="15"/>
  <c r="J114" i="15"/>
  <c r="I114" i="15"/>
  <c r="H114" i="15"/>
  <c r="G114" i="15"/>
  <c r="F114" i="15"/>
  <c r="E114" i="15"/>
  <c r="D114" i="15"/>
  <c r="C114" i="15"/>
  <c r="L113" i="15"/>
  <c r="K113" i="15"/>
  <c r="J113" i="15"/>
  <c r="I113" i="15"/>
  <c r="H113" i="15"/>
  <c r="G113" i="15"/>
  <c r="F113" i="15"/>
  <c r="E113" i="15"/>
  <c r="D113" i="15"/>
  <c r="C113" i="15"/>
  <c r="L112" i="15"/>
  <c r="K112" i="15"/>
  <c r="J112" i="15"/>
  <c r="I112" i="15"/>
  <c r="H112" i="15"/>
  <c r="G112" i="15"/>
  <c r="F112" i="15"/>
  <c r="E112" i="15"/>
  <c r="D112" i="15"/>
  <c r="C112" i="15"/>
  <c r="L111" i="15"/>
  <c r="K111" i="15"/>
  <c r="J111" i="15"/>
  <c r="I111" i="15"/>
  <c r="H111" i="15"/>
  <c r="G111" i="15"/>
  <c r="F111" i="15"/>
  <c r="E111" i="15"/>
  <c r="D111" i="15"/>
  <c r="C111" i="15"/>
  <c r="L110" i="15"/>
  <c r="K110" i="15"/>
  <c r="J110" i="15"/>
  <c r="I110" i="15"/>
  <c r="H110" i="15"/>
  <c r="G110" i="15"/>
  <c r="F110" i="15"/>
  <c r="E110" i="15"/>
  <c r="D110" i="15"/>
  <c r="C110" i="15"/>
  <c r="L109" i="15"/>
  <c r="K109" i="15"/>
  <c r="J109" i="15"/>
  <c r="I109" i="15"/>
  <c r="H109" i="15"/>
  <c r="G109" i="15"/>
  <c r="F109" i="15"/>
  <c r="E109" i="15"/>
  <c r="D109" i="15"/>
  <c r="C109" i="15"/>
  <c r="L108" i="15"/>
  <c r="K108" i="15"/>
  <c r="J108" i="15"/>
  <c r="I108" i="15"/>
  <c r="H108" i="15"/>
  <c r="G108" i="15"/>
  <c r="F108" i="15"/>
  <c r="E108" i="15"/>
  <c r="D108" i="15"/>
  <c r="C108" i="15"/>
  <c r="L107" i="15"/>
  <c r="K107" i="15"/>
  <c r="J107" i="15"/>
  <c r="I107" i="15"/>
  <c r="H107" i="15"/>
  <c r="G107" i="15"/>
  <c r="F107" i="15"/>
  <c r="E107" i="15"/>
  <c r="D107" i="15"/>
  <c r="C107" i="15"/>
  <c r="L106" i="15"/>
  <c r="K106" i="15"/>
  <c r="J106" i="15"/>
  <c r="I106" i="15"/>
  <c r="H106" i="15"/>
  <c r="G106" i="15"/>
  <c r="F106" i="15"/>
  <c r="E106" i="15"/>
  <c r="D106" i="15"/>
  <c r="C106" i="15"/>
  <c r="L100" i="15"/>
  <c r="K100" i="15"/>
  <c r="J100" i="15"/>
  <c r="I100" i="15"/>
  <c r="H100" i="15"/>
  <c r="G100" i="15"/>
  <c r="F100" i="15"/>
  <c r="E100" i="15"/>
  <c r="D100" i="15"/>
  <c r="C100" i="15"/>
  <c r="L99" i="15"/>
  <c r="K99" i="15"/>
  <c r="J99" i="15"/>
  <c r="I99" i="15"/>
  <c r="H99" i="15"/>
  <c r="G99" i="15"/>
  <c r="F99" i="15"/>
  <c r="E99" i="15"/>
  <c r="D99" i="15"/>
  <c r="C99" i="15"/>
  <c r="L98" i="15"/>
  <c r="K98" i="15"/>
  <c r="J98" i="15"/>
  <c r="I98" i="15"/>
  <c r="H98" i="15"/>
  <c r="G98" i="15"/>
  <c r="F98" i="15"/>
  <c r="E98" i="15"/>
  <c r="D98" i="15"/>
  <c r="C98" i="15"/>
  <c r="L97" i="15"/>
  <c r="K97" i="15"/>
  <c r="J97" i="15"/>
  <c r="I97" i="15"/>
  <c r="H97" i="15"/>
  <c r="G97" i="15"/>
  <c r="F97" i="15"/>
  <c r="E97" i="15"/>
  <c r="D97" i="15"/>
  <c r="C97" i="15"/>
  <c r="L96" i="15"/>
  <c r="K96" i="15"/>
  <c r="J96" i="15"/>
  <c r="I96" i="15"/>
  <c r="H96" i="15"/>
  <c r="G96" i="15"/>
  <c r="F96" i="15"/>
  <c r="E96" i="15"/>
  <c r="D96" i="15"/>
  <c r="C96" i="15"/>
  <c r="L95" i="15"/>
  <c r="K95" i="15"/>
  <c r="J95" i="15"/>
  <c r="I95" i="15"/>
  <c r="H95" i="15"/>
  <c r="G95" i="15"/>
  <c r="F95" i="15"/>
  <c r="E95" i="15"/>
  <c r="D95" i="15"/>
  <c r="C95" i="15"/>
  <c r="L94" i="15"/>
  <c r="K94" i="15"/>
  <c r="J94" i="15"/>
  <c r="I94" i="15"/>
  <c r="H94" i="15"/>
  <c r="G94" i="15"/>
  <c r="F94" i="15"/>
  <c r="E94" i="15"/>
  <c r="D94" i="15"/>
  <c r="C94" i="15"/>
  <c r="L93" i="15"/>
  <c r="K93" i="15"/>
  <c r="J93" i="15"/>
  <c r="I93" i="15"/>
  <c r="H93" i="15"/>
  <c r="G93" i="15"/>
  <c r="F93" i="15"/>
  <c r="E93" i="15"/>
  <c r="D93" i="15"/>
  <c r="C93" i="15"/>
  <c r="L92" i="15"/>
  <c r="K92" i="15"/>
  <c r="J92" i="15"/>
  <c r="I92" i="15"/>
  <c r="H92" i="15"/>
  <c r="G92" i="15"/>
  <c r="F92" i="15"/>
  <c r="E92" i="15"/>
  <c r="D92" i="15"/>
  <c r="C92" i="15"/>
  <c r="L91" i="15"/>
  <c r="K91" i="15"/>
  <c r="J91" i="15"/>
  <c r="I91" i="15"/>
  <c r="H91" i="15"/>
  <c r="G91" i="15"/>
  <c r="F91" i="15"/>
  <c r="E91" i="15"/>
  <c r="D91" i="15"/>
  <c r="C91" i="15"/>
  <c r="L90" i="15"/>
  <c r="K90" i="15"/>
  <c r="J90" i="15"/>
  <c r="I90" i="15"/>
  <c r="H90" i="15"/>
  <c r="G90" i="15"/>
  <c r="F90" i="15"/>
  <c r="E90" i="15"/>
  <c r="D90" i="15"/>
  <c r="C90" i="15"/>
  <c r="L89" i="15"/>
  <c r="K89" i="15"/>
  <c r="J89" i="15"/>
  <c r="I89" i="15"/>
  <c r="H89" i="15"/>
  <c r="G89" i="15"/>
  <c r="F89" i="15"/>
  <c r="E89" i="15"/>
  <c r="D89" i="15"/>
  <c r="C89" i="15"/>
  <c r="L88" i="15"/>
  <c r="K88" i="15"/>
  <c r="J88" i="15"/>
  <c r="I88" i="15"/>
  <c r="H88" i="15"/>
  <c r="G88" i="15"/>
  <c r="F88" i="15"/>
  <c r="E88" i="15"/>
  <c r="D88" i="15"/>
  <c r="C88" i="15"/>
  <c r="L87" i="15"/>
  <c r="K87" i="15"/>
  <c r="J87" i="15"/>
  <c r="I87" i="15"/>
  <c r="H87" i="15"/>
  <c r="G87" i="15"/>
  <c r="F87" i="15"/>
  <c r="E87" i="15"/>
  <c r="D87" i="15"/>
  <c r="C87" i="15"/>
  <c r="L86" i="15"/>
  <c r="K86" i="15"/>
  <c r="J86" i="15"/>
  <c r="I86" i="15"/>
  <c r="H86" i="15"/>
  <c r="G86" i="15"/>
  <c r="F86" i="15"/>
  <c r="E86" i="15"/>
  <c r="D86" i="15"/>
  <c r="C86" i="15"/>
  <c r="L85" i="15"/>
  <c r="K85" i="15"/>
  <c r="J85" i="15"/>
  <c r="I85" i="15"/>
  <c r="H85" i="15"/>
  <c r="G85" i="15"/>
  <c r="F85" i="15"/>
  <c r="E85" i="15"/>
  <c r="D85" i="15"/>
  <c r="C85" i="15"/>
  <c r="L84" i="15"/>
  <c r="K84" i="15"/>
  <c r="J84" i="15"/>
  <c r="I84" i="15"/>
  <c r="H84" i="15"/>
  <c r="G84" i="15"/>
  <c r="F84" i="15"/>
  <c r="E84" i="15"/>
  <c r="D84" i="15"/>
  <c r="C84" i="15"/>
  <c r="L83" i="15"/>
  <c r="K83" i="15"/>
  <c r="J83" i="15"/>
  <c r="I83" i="15"/>
  <c r="H83" i="15"/>
  <c r="G83" i="15"/>
  <c r="F83" i="15"/>
  <c r="E83" i="15"/>
  <c r="D83" i="15"/>
  <c r="C83" i="15"/>
  <c r="L82" i="15"/>
  <c r="K82" i="15"/>
  <c r="J82" i="15"/>
  <c r="I82" i="15"/>
  <c r="H82" i="15"/>
  <c r="G82" i="15"/>
  <c r="F82" i="15"/>
  <c r="E82" i="15"/>
  <c r="D82" i="15"/>
  <c r="C82" i="15"/>
  <c r="L81" i="15"/>
  <c r="K81" i="15"/>
  <c r="J81" i="15"/>
  <c r="I81" i="15"/>
  <c r="H81" i="15"/>
  <c r="G81" i="15"/>
  <c r="F81" i="15"/>
  <c r="E81" i="15"/>
  <c r="D81" i="15"/>
  <c r="C81" i="15"/>
  <c r="P44" i="15"/>
  <c r="P46" i="15" s="1"/>
  <c r="L53" i="15"/>
  <c r="K53" i="15"/>
  <c r="J53" i="15"/>
  <c r="I53" i="15"/>
  <c r="H53" i="15"/>
  <c r="F53" i="15"/>
  <c r="F54" i="15" s="1"/>
  <c r="L26" i="15"/>
  <c r="K26" i="15"/>
  <c r="J26" i="15"/>
  <c r="I26" i="15"/>
  <c r="H26" i="15"/>
  <c r="G26" i="15"/>
  <c r="F26" i="15"/>
  <c r="E26" i="15"/>
  <c r="D26" i="15"/>
  <c r="C26" i="15"/>
  <c r="L25" i="15"/>
  <c r="K25" i="15"/>
  <c r="J25" i="15"/>
  <c r="I25" i="15"/>
  <c r="H25" i="15"/>
  <c r="N23" i="15"/>
  <c r="M23" i="15"/>
  <c r="B23" i="15"/>
  <c r="B150" i="15" s="1"/>
  <c r="N22" i="15"/>
  <c r="M22" i="15"/>
  <c r="B22" i="15"/>
  <c r="B149" i="15" s="1"/>
  <c r="N21" i="15"/>
  <c r="M21" i="15"/>
  <c r="B21" i="15"/>
  <c r="B148" i="15" s="1"/>
  <c r="N20" i="15"/>
  <c r="M20" i="15"/>
  <c r="B20" i="15"/>
  <c r="B147" i="15" s="1"/>
  <c r="N19" i="15"/>
  <c r="M19" i="15"/>
  <c r="B19" i="15"/>
  <c r="B146" i="15" s="1"/>
  <c r="N18" i="15"/>
  <c r="M18" i="15"/>
  <c r="B18" i="15"/>
  <c r="B145" i="15" s="1"/>
  <c r="N17" i="15"/>
  <c r="M17" i="15"/>
  <c r="B17" i="15"/>
  <c r="B144" i="15" s="1"/>
  <c r="N16" i="15"/>
  <c r="M16" i="15"/>
  <c r="B16" i="15"/>
  <c r="B143" i="15" s="1"/>
  <c r="N15" i="15"/>
  <c r="M15" i="15"/>
  <c r="B15" i="15"/>
  <c r="B142" i="15" s="1"/>
  <c r="N14" i="15"/>
  <c r="M14" i="15"/>
  <c r="B14" i="15"/>
  <c r="B141" i="15" s="1"/>
  <c r="N13" i="15"/>
  <c r="M13" i="15"/>
  <c r="B13" i="15"/>
  <c r="B140" i="15" s="1"/>
  <c r="N12" i="15"/>
  <c r="M12" i="15"/>
  <c r="B12" i="15"/>
  <c r="B139" i="15" s="1"/>
  <c r="N11" i="15"/>
  <c r="M11" i="15"/>
  <c r="B11" i="15"/>
  <c r="B138" i="15" s="1"/>
  <c r="N10" i="15"/>
  <c r="M10" i="15"/>
  <c r="B10" i="15"/>
  <c r="B137" i="15" s="1"/>
  <c r="N9" i="15"/>
  <c r="M9" i="15"/>
  <c r="B9" i="15"/>
  <c r="B136" i="15" s="1"/>
  <c r="N8" i="15"/>
  <c r="M8" i="15"/>
  <c r="B8" i="15"/>
  <c r="B135" i="15" s="1"/>
  <c r="N7" i="15"/>
  <c r="M7" i="15"/>
  <c r="B7" i="15"/>
  <c r="B134" i="15" s="1"/>
  <c r="N6" i="15"/>
  <c r="M6" i="15"/>
  <c r="B6" i="15"/>
  <c r="B133" i="15" s="1"/>
  <c r="N5" i="15"/>
  <c r="M5" i="15"/>
  <c r="B5" i="15"/>
  <c r="B132" i="15" s="1"/>
  <c r="N4" i="15"/>
  <c r="M4" i="15"/>
  <c r="B4" i="15"/>
  <c r="B131" i="15" s="1"/>
  <c r="M3" i="15"/>
  <c r="C132" i="1"/>
  <c r="D132" i="1"/>
  <c r="E132" i="1"/>
  <c r="F132" i="1"/>
  <c r="G132" i="1"/>
  <c r="H132" i="1"/>
  <c r="I132" i="1"/>
  <c r="J132" i="1"/>
  <c r="K132" i="1"/>
  <c r="L132" i="1"/>
  <c r="C133" i="1"/>
  <c r="D133" i="1"/>
  <c r="E133" i="1"/>
  <c r="F133" i="1"/>
  <c r="G133" i="1"/>
  <c r="H133" i="1"/>
  <c r="I133" i="1"/>
  <c r="J133" i="1"/>
  <c r="K133" i="1"/>
  <c r="L133" i="1"/>
  <c r="C134" i="1"/>
  <c r="D134" i="1"/>
  <c r="E134" i="1"/>
  <c r="F134" i="1"/>
  <c r="G134" i="1"/>
  <c r="H134" i="1"/>
  <c r="I134" i="1"/>
  <c r="J134" i="1"/>
  <c r="K134" i="1"/>
  <c r="L134" i="1"/>
  <c r="C135" i="1"/>
  <c r="D135" i="1"/>
  <c r="E135" i="1"/>
  <c r="F135" i="1"/>
  <c r="G135" i="1"/>
  <c r="H135" i="1"/>
  <c r="I135" i="1"/>
  <c r="J135" i="1"/>
  <c r="K135" i="1"/>
  <c r="L135" i="1"/>
  <c r="C136" i="1"/>
  <c r="D136" i="1"/>
  <c r="E136" i="1"/>
  <c r="F136" i="1"/>
  <c r="G136" i="1"/>
  <c r="H136" i="1"/>
  <c r="I136" i="1"/>
  <c r="J136" i="1"/>
  <c r="K136" i="1"/>
  <c r="L136" i="1"/>
  <c r="C137" i="1"/>
  <c r="D137" i="1"/>
  <c r="E137" i="1"/>
  <c r="F137" i="1"/>
  <c r="G137" i="1"/>
  <c r="H137" i="1"/>
  <c r="I137" i="1"/>
  <c r="J137" i="1"/>
  <c r="K137" i="1"/>
  <c r="L137" i="1"/>
  <c r="C138" i="1"/>
  <c r="D138" i="1"/>
  <c r="E138" i="1"/>
  <c r="F138" i="1"/>
  <c r="G138" i="1"/>
  <c r="H138" i="1"/>
  <c r="I138" i="1"/>
  <c r="J138" i="1"/>
  <c r="K138" i="1"/>
  <c r="L138" i="1"/>
  <c r="C139" i="1"/>
  <c r="D139" i="1"/>
  <c r="E139" i="1"/>
  <c r="F139" i="1"/>
  <c r="G139" i="1"/>
  <c r="H139" i="1"/>
  <c r="I139" i="1"/>
  <c r="J139" i="1"/>
  <c r="K139" i="1"/>
  <c r="L139" i="1"/>
  <c r="C140" i="1"/>
  <c r="D140" i="1"/>
  <c r="E140" i="1"/>
  <c r="F140" i="1"/>
  <c r="G140" i="1"/>
  <c r="H140" i="1"/>
  <c r="I140" i="1"/>
  <c r="J140" i="1"/>
  <c r="K140" i="1"/>
  <c r="L140" i="1"/>
  <c r="C141" i="1"/>
  <c r="D141" i="1"/>
  <c r="E141" i="1"/>
  <c r="F141" i="1"/>
  <c r="G141" i="1"/>
  <c r="H141" i="1"/>
  <c r="I141" i="1"/>
  <c r="J141" i="1"/>
  <c r="K141" i="1"/>
  <c r="L141" i="1"/>
  <c r="C142" i="1"/>
  <c r="D142" i="1"/>
  <c r="E142" i="1"/>
  <c r="F142" i="1"/>
  <c r="G142" i="1"/>
  <c r="H142" i="1"/>
  <c r="I142" i="1"/>
  <c r="J142" i="1"/>
  <c r="K142" i="1"/>
  <c r="L142" i="1"/>
  <c r="C143" i="1"/>
  <c r="D143" i="1"/>
  <c r="E143" i="1"/>
  <c r="F143" i="1"/>
  <c r="G143" i="1"/>
  <c r="H143" i="1"/>
  <c r="I143" i="1"/>
  <c r="J143" i="1"/>
  <c r="K143" i="1"/>
  <c r="L143" i="1"/>
  <c r="C144" i="1"/>
  <c r="D144" i="1"/>
  <c r="E144" i="1"/>
  <c r="F144" i="1"/>
  <c r="G144" i="1"/>
  <c r="H144" i="1"/>
  <c r="I144" i="1"/>
  <c r="J144" i="1"/>
  <c r="K144" i="1"/>
  <c r="L144" i="1"/>
  <c r="C145" i="1"/>
  <c r="D145" i="1"/>
  <c r="E145" i="1"/>
  <c r="F145" i="1"/>
  <c r="G145" i="1"/>
  <c r="H145" i="1"/>
  <c r="I145" i="1"/>
  <c r="J145" i="1"/>
  <c r="K145" i="1"/>
  <c r="L145" i="1"/>
  <c r="C146" i="1"/>
  <c r="D146" i="1"/>
  <c r="E146" i="1"/>
  <c r="F146" i="1"/>
  <c r="G146" i="1"/>
  <c r="H146" i="1"/>
  <c r="I146" i="1"/>
  <c r="J146" i="1"/>
  <c r="K146" i="1"/>
  <c r="L146" i="1"/>
  <c r="C147" i="1"/>
  <c r="D147" i="1"/>
  <c r="E147" i="1"/>
  <c r="F147" i="1"/>
  <c r="G147" i="1"/>
  <c r="H147" i="1"/>
  <c r="I147" i="1"/>
  <c r="J147" i="1"/>
  <c r="K147" i="1"/>
  <c r="L147" i="1"/>
  <c r="C148" i="1"/>
  <c r="D148" i="1"/>
  <c r="E148" i="1"/>
  <c r="F148" i="1"/>
  <c r="G148" i="1"/>
  <c r="H148" i="1"/>
  <c r="I148" i="1"/>
  <c r="J148" i="1"/>
  <c r="K148" i="1"/>
  <c r="L148" i="1"/>
  <c r="C149" i="1"/>
  <c r="D149" i="1"/>
  <c r="E149" i="1"/>
  <c r="F149" i="1"/>
  <c r="G149" i="1"/>
  <c r="H149" i="1"/>
  <c r="I149" i="1"/>
  <c r="J149" i="1"/>
  <c r="K149" i="1"/>
  <c r="L149" i="1"/>
  <c r="C150" i="1"/>
  <c r="D150" i="1"/>
  <c r="E150" i="1"/>
  <c r="F150" i="1"/>
  <c r="G150" i="1"/>
  <c r="H150" i="1"/>
  <c r="I150" i="1"/>
  <c r="J150" i="1"/>
  <c r="K150" i="1"/>
  <c r="L150" i="1"/>
  <c r="D131" i="1"/>
  <c r="E131" i="1"/>
  <c r="F131" i="1"/>
  <c r="G131" i="1"/>
  <c r="H131" i="1"/>
  <c r="I131" i="1"/>
  <c r="J131" i="1"/>
  <c r="K131" i="1"/>
  <c r="L131" i="1"/>
  <c r="C131" i="1"/>
  <c r="B148" i="1"/>
  <c r="D106" i="1"/>
  <c r="E106" i="1"/>
  <c r="F106" i="1"/>
  <c r="G106" i="1"/>
  <c r="H106" i="1"/>
  <c r="I106" i="1"/>
  <c r="J106" i="1"/>
  <c r="K106" i="1"/>
  <c r="L106" i="1"/>
  <c r="D107" i="1"/>
  <c r="E107" i="1"/>
  <c r="F107" i="1"/>
  <c r="G107" i="1"/>
  <c r="H107" i="1"/>
  <c r="I107" i="1"/>
  <c r="J107" i="1"/>
  <c r="K107" i="1"/>
  <c r="L107" i="1"/>
  <c r="D108" i="1"/>
  <c r="E108" i="1"/>
  <c r="F108" i="1"/>
  <c r="G108" i="1"/>
  <c r="H108" i="1"/>
  <c r="I108" i="1"/>
  <c r="J108" i="1"/>
  <c r="K108" i="1"/>
  <c r="L108" i="1"/>
  <c r="D109" i="1"/>
  <c r="E109" i="1"/>
  <c r="F109" i="1"/>
  <c r="G109" i="1"/>
  <c r="H109" i="1"/>
  <c r="I109" i="1"/>
  <c r="J109" i="1"/>
  <c r="K109" i="1"/>
  <c r="L109" i="1"/>
  <c r="D110" i="1"/>
  <c r="E110" i="1"/>
  <c r="F110" i="1"/>
  <c r="G110" i="1"/>
  <c r="H110" i="1"/>
  <c r="I110" i="1"/>
  <c r="J110" i="1"/>
  <c r="K110" i="1"/>
  <c r="L110" i="1"/>
  <c r="D111" i="1"/>
  <c r="E111" i="1"/>
  <c r="F111" i="1"/>
  <c r="G111" i="1"/>
  <c r="H111" i="1"/>
  <c r="I111" i="1"/>
  <c r="J111" i="1"/>
  <c r="K111" i="1"/>
  <c r="L111"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115" i="1"/>
  <c r="E115" i="1"/>
  <c r="F115" i="1"/>
  <c r="G115" i="1"/>
  <c r="H115" i="1"/>
  <c r="I115" i="1"/>
  <c r="J115" i="1"/>
  <c r="K115" i="1"/>
  <c r="L115" i="1"/>
  <c r="D116" i="1"/>
  <c r="E116" i="1"/>
  <c r="F116" i="1"/>
  <c r="G116" i="1"/>
  <c r="H116" i="1"/>
  <c r="I116" i="1"/>
  <c r="J116" i="1"/>
  <c r="K116" i="1"/>
  <c r="L116" i="1"/>
  <c r="D117" i="1"/>
  <c r="E117" i="1"/>
  <c r="F117" i="1"/>
  <c r="G117" i="1"/>
  <c r="H117" i="1"/>
  <c r="I117" i="1"/>
  <c r="J117" i="1"/>
  <c r="K117" i="1"/>
  <c r="L117" i="1"/>
  <c r="D118" i="1"/>
  <c r="E118" i="1"/>
  <c r="F118" i="1"/>
  <c r="G118" i="1"/>
  <c r="H118" i="1"/>
  <c r="I118" i="1"/>
  <c r="J118" i="1"/>
  <c r="K118" i="1"/>
  <c r="L118" i="1"/>
  <c r="D119" i="1"/>
  <c r="E119" i="1"/>
  <c r="F119" i="1"/>
  <c r="G119" i="1"/>
  <c r="H119" i="1"/>
  <c r="I119" i="1"/>
  <c r="J119" i="1"/>
  <c r="K119" i="1"/>
  <c r="L119" i="1"/>
  <c r="D120" i="1"/>
  <c r="E120" i="1"/>
  <c r="F120" i="1"/>
  <c r="G120" i="1"/>
  <c r="H120" i="1"/>
  <c r="I120" i="1"/>
  <c r="J120" i="1"/>
  <c r="K120" i="1"/>
  <c r="L120" i="1"/>
  <c r="D121" i="1"/>
  <c r="E121" i="1"/>
  <c r="F121" i="1"/>
  <c r="G121" i="1"/>
  <c r="H121" i="1"/>
  <c r="I121" i="1"/>
  <c r="J121" i="1"/>
  <c r="K121" i="1"/>
  <c r="L121" i="1"/>
  <c r="D122" i="1"/>
  <c r="E122" i="1"/>
  <c r="F122" i="1"/>
  <c r="G122" i="1"/>
  <c r="H122" i="1"/>
  <c r="I122" i="1"/>
  <c r="J122" i="1"/>
  <c r="K122" i="1"/>
  <c r="L122" i="1"/>
  <c r="D123" i="1"/>
  <c r="E123" i="1"/>
  <c r="F123" i="1"/>
  <c r="G123" i="1"/>
  <c r="H123" i="1"/>
  <c r="I123" i="1"/>
  <c r="J123" i="1"/>
  <c r="K123" i="1"/>
  <c r="L123" i="1"/>
  <c r="D124" i="1"/>
  <c r="E124" i="1"/>
  <c r="F124" i="1"/>
  <c r="G124" i="1"/>
  <c r="H124" i="1"/>
  <c r="I124" i="1"/>
  <c r="J124" i="1"/>
  <c r="K124" i="1"/>
  <c r="L124" i="1"/>
  <c r="D125" i="1"/>
  <c r="E125" i="1"/>
  <c r="F125" i="1"/>
  <c r="G125" i="1"/>
  <c r="H125" i="1"/>
  <c r="I125" i="1"/>
  <c r="J125" i="1"/>
  <c r="K125" i="1"/>
  <c r="L125" i="1"/>
  <c r="C107" i="1"/>
  <c r="C108" i="1"/>
  <c r="C109" i="1"/>
  <c r="C110" i="1"/>
  <c r="C111" i="1"/>
  <c r="C112" i="1"/>
  <c r="C113" i="1"/>
  <c r="C114" i="1"/>
  <c r="C115" i="1"/>
  <c r="C116" i="1"/>
  <c r="C117" i="1"/>
  <c r="C118" i="1"/>
  <c r="C119" i="1"/>
  <c r="C120" i="1"/>
  <c r="C121" i="1"/>
  <c r="C122" i="1"/>
  <c r="C123" i="1"/>
  <c r="C124" i="1"/>
  <c r="C125" i="1"/>
  <c r="C106" i="1"/>
  <c r="C82" i="1"/>
  <c r="D82" i="1"/>
  <c r="E82" i="1"/>
  <c r="F82" i="1"/>
  <c r="G82" i="1"/>
  <c r="H82" i="1"/>
  <c r="I82" i="1"/>
  <c r="J82" i="1"/>
  <c r="K82" i="1"/>
  <c r="L82" i="1"/>
  <c r="C83" i="1"/>
  <c r="D83" i="1"/>
  <c r="E83" i="1"/>
  <c r="F83" i="1"/>
  <c r="G83" i="1"/>
  <c r="H83" i="1"/>
  <c r="I83" i="1"/>
  <c r="J83" i="1"/>
  <c r="K83" i="1"/>
  <c r="L83" i="1"/>
  <c r="C84" i="1"/>
  <c r="D84" i="1"/>
  <c r="E84" i="1"/>
  <c r="F84" i="1"/>
  <c r="G84" i="1"/>
  <c r="H84" i="1"/>
  <c r="I84" i="1"/>
  <c r="J84" i="1"/>
  <c r="K84" i="1"/>
  <c r="L84" i="1"/>
  <c r="C85" i="1"/>
  <c r="D85" i="1"/>
  <c r="E85" i="1"/>
  <c r="F85" i="1"/>
  <c r="G85" i="1"/>
  <c r="H85" i="1"/>
  <c r="I85" i="1"/>
  <c r="J85" i="1"/>
  <c r="K85" i="1"/>
  <c r="L85" i="1"/>
  <c r="C86" i="1"/>
  <c r="D86" i="1"/>
  <c r="E86" i="1"/>
  <c r="F86" i="1"/>
  <c r="G86" i="1"/>
  <c r="H86" i="1"/>
  <c r="I86" i="1"/>
  <c r="J86" i="1"/>
  <c r="K86" i="1"/>
  <c r="L86" i="1"/>
  <c r="C87" i="1"/>
  <c r="D87" i="1"/>
  <c r="E87" i="1"/>
  <c r="F87" i="1"/>
  <c r="G87" i="1"/>
  <c r="H87" i="1"/>
  <c r="I87" i="1"/>
  <c r="J87" i="1"/>
  <c r="K87" i="1"/>
  <c r="L87" i="1"/>
  <c r="C88" i="1"/>
  <c r="D88" i="1"/>
  <c r="E88" i="1"/>
  <c r="F88" i="1"/>
  <c r="G88" i="1"/>
  <c r="H88" i="1"/>
  <c r="I88" i="1"/>
  <c r="J88" i="1"/>
  <c r="K88" i="1"/>
  <c r="L88" i="1"/>
  <c r="C89" i="1"/>
  <c r="D89" i="1"/>
  <c r="E89" i="1"/>
  <c r="F89" i="1"/>
  <c r="G89" i="1"/>
  <c r="H89" i="1"/>
  <c r="I89" i="1"/>
  <c r="J89" i="1"/>
  <c r="K89" i="1"/>
  <c r="L89" i="1"/>
  <c r="C90" i="1"/>
  <c r="D90" i="1"/>
  <c r="E90" i="1"/>
  <c r="F90" i="1"/>
  <c r="G90" i="1"/>
  <c r="H90" i="1"/>
  <c r="I90" i="1"/>
  <c r="J90" i="1"/>
  <c r="K90" i="1"/>
  <c r="L90" i="1"/>
  <c r="C91" i="1"/>
  <c r="D91" i="1"/>
  <c r="E91" i="1"/>
  <c r="F91" i="1"/>
  <c r="G91" i="1"/>
  <c r="H91" i="1"/>
  <c r="I91" i="1"/>
  <c r="J91" i="1"/>
  <c r="K91" i="1"/>
  <c r="L91" i="1"/>
  <c r="C92" i="1"/>
  <c r="D92" i="1"/>
  <c r="E92" i="1"/>
  <c r="F92" i="1"/>
  <c r="G92" i="1"/>
  <c r="H92" i="1"/>
  <c r="I92" i="1"/>
  <c r="J92" i="1"/>
  <c r="K92" i="1"/>
  <c r="L92" i="1"/>
  <c r="C93" i="1"/>
  <c r="D93" i="1"/>
  <c r="E93" i="1"/>
  <c r="F93" i="1"/>
  <c r="G93" i="1"/>
  <c r="H93" i="1"/>
  <c r="I93" i="1"/>
  <c r="J93" i="1"/>
  <c r="K93" i="1"/>
  <c r="L93" i="1"/>
  <c r="C94" i="1"/>
  <c r="D94" i="1"/>
  <c r="E94" i="1"/>
  <c r="F94" i="1"/>
  <c r="G94" i="1"/>
  <c r="H94" i="1"/>
  <c r="I94" i="1"/>
  <c r="J94" i="1"/>
  <c r="K94" i="1"/>
  <c r="L94" i="1"/>
  <c r="C95" i="1"/>
  <c r="D95" i="1"/>
  <c r="E95" i="1"/>
  <c r="F95" i="1"/>
  <c r="G95" i="1"/>
  <c r="H95" i="1"/>
  <c r="I95" i="1"/>
  <c r="J95" i="1"/>
  <c r="K95" i="1"/>
  <c r="L95" i="1"/>
  <c r="C96" i="1"/>
  <c r="D96" i="1"/>
  <c r="E96" i="1"/>
  <c r="F96" i="1"/>
  <c r="G96" i="1"/>
  <c r="H96" i="1"/>
  <c r="I96" i="1"/>
  <c r="J96" i="1"/>
  <c r="K96" i="1"/>
  <c r="L96" i="1"/>
  <c r="C97" i="1"/>
  <c r="D97" i="1"/>
  <c r="E97" i="1"/>
  <c r="F97" i="1"/>
  <c r="G97" i="1"/>
  <c r="H97" i="1"/>
  <c r="I97" i="1"/>
  <c r="J97" i="1"/>
  <c r="K97" i="1"/>
  <c r="L97" i="1"/>
  <c r="C98" i="1"/>
  <c r="D98" i="1"/>
  <c r="E98" i="1"/>
  <c r="F98" i="1"/>
  <c r="G98" i="1"/>
  <c r="H98" i="1"/>
  <c r="I98" i="1"/>
  <c r="J98" i="1"/>
  <c r="K98" i="1"/>
  <c r="L98" i="1"/>
  <c r="C99" i="1"/>
  <c r="D99" i="1"/>
  <c r="E99" i="1"/>
  <c r="F99" i="1"/>
  <c r="G99" i="1"/>
  <c r="H99" i="1"/>
  <c r="I99" i="1"/>
  <c r="J99" i="1"/>
  <c r="K99" i="1"/>
  <c r="L99" i="1"/>
  <c r="C100" i="1"/>
  <c r="D100" i="1"/>
  <c r="E100" i="1"/>
  <c r="F100" i="1"/>
  <c r="G100" i="1"/>
  <c r="H100" i="1"/>
  <c r="I100" i="1"/>
  <c r="J100" i="1"/>
  <c r="K100" i="1"/>
  <c r="L100" i="1"/>
  <c r="D81" i="1"/>
  <c r="E81" i="1"/>
  <c r="F81" i="1"/>
  <c r="G81" i="1"/>
  <c r="H81" i="1"/>
  <c r="I81" i="1"/>
  <c r="J81" i="1"/>
  <c r="K81" i="1"/>
  <c r="L81" i="1"/>
  <c r="C81" i="1"/>
  <c r="L50" i="1"/>
  <c r="L55" i="1" s="1"/>
  <c r="K50" i="1"/>
  <c r="K55" i="1" s="1"/>
  <c r="J50" i="1"/>
  <c r="I50" i="1"/>
  <c r="H50" i="1"/>
  <c r="H55" i="1" s="1"/>
  <c r="G50" i="1"/>
  <c r="F50" i="1"/>
  <c r="E50" i="1"/>
  <c r="E55" i="1" s="1"/>
  <c r="D50" i="1"/>
  <c r="C50" i="1"/>
  <c r="AL7" i="14"/>
  <c r="AN7" i="14" s="1"/>
  <c r="AH7" i="14"/>
  <c r="AJ7" i="14" s="1"/>
  <c r="AD7" i="14"/>
  <c r="AF7" i="14" s="1"/>
  <c r="V7" i="14"/>
  <c r="X7" i="14" s="1"/>
  <c r="R7" i="14"/>
  <c r="T7" i="14" s="1"/>
  <c r="N7" i="14"/>
  <c r="F7" i="14"/>
  <c r="B7" i="14"/>
  <c r="L45" i="1"/>
  <c r="K45" i="1"/>
  <c r="J45" i="1"/>
  <c r="I45" i="1"/>
  <c r="H45" i="1"/>
  <c r="G45" i="1"/>
  <c r="F45" i="1"/>
  <c r="E45" i="1"/>
  <c r="D45" i="1"/>
  <c r="C45" i="1"/>
  <c r="P44" i="1"/>
  <c r="P46" i="1" s="1"/>
  <c r="B26" i="3" s="1"/>
  <c r="L44" i="1"/>
  <c r="K44" i="1"/>
  <c r="J44" i="1"/>
  <c r="I44" i="1"/>
  <c r="H44" i="1"/>
  <c r="G44" i="1"/>
  <c r="F44" i="1"/>
  <c r="E44" i="1"/>
  <c r="D44" i="1"/>
  <c r="C44" i="1"/>
  <c r="L43" i="1"/>
  <c r="K43" i="1"/>
  <c r="J43" i="1"/>
  <c r="I43" i="1"/>
  <c r="H43" i="1"/>
  <c r="G43" i="1"/>
  <c r="F43" i="1"/>
  <c r="E43" i="1"/>
  <c r="D43" i="1"/>
  <c r="C43" i="1"/>
  <c r="L34" i="1"/>
  <c r="L53" i="1" s="1"/>
  <c r="K34" i="1"/>
  <c r="K53" i="1" s="1"/>
  <c r="J34" i="1"/>
  <c r="J53" i="1" s="1"/>
  <c r="I34" i="1"/>
  <c r="I53" i="1" s="1"/>
  <c r="H34" i="1"/>
  <c r="H53" i="1" s="1"/>
  <c r="G34" i="1"/>
  <c r="G53" i="1" s="1"/>
  <c r="F34" i="1"/>
  <c r="F53" i="1" s="1"/>
  <c r="E34" i="1"/>
  <c r="E53" i="1" s="1"/>
  <c r="L51" i="1"/>
  <c r="K51" i="1"/>
  <c r="K52" i="1" s="1"/>
  <c r="J51" i="1"/>
  <c r="J52" i="1" s="1"/>
  <c r="I51" i="1"/>
  <c r="H51" i="1"/>
  <c r="G51" i="1"/>
  <c r="G52" i="1" s="1"/>
  <c r="L26" i="1"/>
  <c r="K26" i="1"/>
  <c r="J26" i="1"/>
  <c r="I26" i="1"/>
  <c r="H26" i="1"/>
  <c r="G61" i="1"/>
  <c r="F26" i="1"/>
  <c r="E26" i="1"/>
  <c r="D26" i="1"/>
  <c r="C26" i="1"/>
  <c r="C37" i="1" s="1"/>
  <c r="L25" i="1"/>
  <c r="K25" i="1"/>
  <c r="J25" i="1"/>
  <c r="I25" i="1"/>
  <c r="G25" i="1"/>
  <c r="H25" i="1"/>
  <c r="A32" i="10"/>
  <c r="A33" i="10"/>
  <c r="A34" i="10"/>
  <c r="A24" i="10"/>
  <c r="A25" i="10"/>
  <c r="A26" i="10"/>
  <c r="O34" i="10"/>
  <c r="Q33" i="10"/>
  <c r="O32" i="10"/>
  <c r="J34" i="10"/>
  <c r="L33" i="10"/>
  <c r="J32" i="10"/>
  <c r="E34" i="10"/>
  <c r="G33" i="10"/>
  <c r="E32" i="10"/>
  <c r="O26" i="10"/>
  <c r="Q25" i="10"/>
  <c r="O24" i="10"/>
  <c r="J26" i="10"/>
  <c r="L25" i="10"/>
  <c r="J24" i="10"/>
  <c r="E26" i="10"/>
  <c r="G25" i="10"/>
  <c r="E24" i="10"/>
  <c r="J18" i="10"/>
  <c r="L17" i="10"/>
  <c r="J16" i="10"/>
  <c r="O18" i="10"/>
  <c r="Q17" i="10"/>
  <c r="O16" i="10"/>
  <c r="O10" i="10"/>
  <c r="Q9" i="10"/>
  <c r="O8" i="10"/>
  <c r="J10" i="10"/>
  <c r="L9" i="10"/>
  <c r="J8" i="10"/>
  <c r="E10" i="10"/>
  <c r="G9" i="10"/>
  <c r="E8" i="10"/>
  <c r="E18" i="10"/>
  <c r="G17" i="10"/>
  <c r="E16" i="10"/>
  <c r="A16" i="10"/>
  <c r="A17" i="10"/>
  <c r="A18" i="10"/>
  <c r="AD55" i="8"/>
  <c r="AD56" i="8"/>
  <c r="AD57" i="8"/>
  <c r="AD58" i="8"/>
  <c r="AD59" i="8"/>
  <c r="AD60" i="8"/>
  <c r="AD61" i="8"/>
  <c r="AC55" i="8"/>
  <c r="AC56" i="8"/>
  <c r="AC57" i="8"/>
  <c r="AC58" i="8"/>
  <c r="AC59" i="8"/>
  <c r="AC60" i="8"/>
  <c r="AC61" i="8"/>
  <c r="AD54" i="8"/>
  <c r="AC54" i="8"/>
  <c r="W18" i="8"/>
  <c r="AD18" i="8"/>
  <c r="X19" i="8"/>
  <c r="AD19" i="8"/>
  <c r="X20" i="8"/>
  <c r="AD20" i="8"/>
  <c r="W22" i="8"/>
  <c r="AD22" i="8"/>
  <c r="AD23" i="8"/>
  <c r="X21" i="8"/>
  <c r="AD21" i="8"/>
  <c r="AD24" i="8"/>
  <c r="AD25" i="8"/>
  <c r="H49" i="8"/>
  <c r="AD49" i="8"/>
  <c r="B148" i="8"/>
  <c r="W148" i="8" s="1"/>
  <c r="B147" i="8"/>
  <c r="B150" i="8"/>
  <c r="I72" i="8"/>
  <c r="AD72" i="8"/>
  <c r="AC72" i="8"/>
  <c r="AC25" i="8"/>
  <c r="AC49" i="8"/>
  <c r="AB49" i="8"/>
  <c r="AB25" i="8"/>
  <c r="AB43" i="8"/>
  <c r="AC43" i="8"/>
  <c r="AD43" i="8"/>
  <c r="AB44" i="8"/>
  <c r="AC44" i="8"/>
  <c r="AD44" i="8"/>
  <c r="AB45" i="8"/>
  <c r="AC45" i="8"/>
  <c r="AD45" i="8"/>
  <c r="AB46" i="8"/>
  <c r="AC46" i="8"/>
  <c r="AD46" i="8"/>
  <c r="AB47" i="8"/>
  <c r="AC47" i="8"/>
  <c r="AD47" i="8"/>
  <c r="AB48" i="8"/>
  <c r="AC48" i="8"/>
  <c r="AD48" i="8"/>
  <c r="AB55" i="8"/>
  <c r="AB56" i="8"/>
  <c r="AB57" i="8"/>
  <c r="AB58" i="8"/>
  <c r="AB59" i="8"/>
  <c r="AB60" i="8"/>
  <c r="AB61" i="8"/>
  <c r="AB67" i="8"/>
  <c r="AC67" i="8"/>
  <c r="AD67" i="8"/>
  <c r="AB68" i="8"/>
  <c r="AC68" i="8"/>
  <c r="AD68" i="8"/>
  <c r="AB69" i="8"/>
  <c r="AC69" i="8"/>
  <c r="AD69" i="8"/>
  <c r="AB70" i="8"/>
  <c r="AC70" i="8"/>
  <c r="AD70" i="8"/>
  <c r="AB71" i="8"/>
  <c r="AC71" i="8"/>
  <c r="AD71" i="8"/>
  <c r="AB72" i="8"/>
  <c r="AB73" i="8"/>
  <c r="AC73" i="8"/>
  <c r="AD73" i="8"/>
  <c r="AB174" i="8"/>
  <c r="AC174" i="8"/>
  <c r="AD174" i="8"/>
  <c r="AB175" i="8"/>
  <c r="AC175" i="8"/>
  <c r="AD175" i="8"/>
  <c r="AB176" i="8"/>
  <c r="AC176" i="8"/>
  <c r="AD176" i="8"/>
  <c r="AB177" i="8"/>
  <c r="AC177" i="8"/>
  <c r="AD177" i="8"/>
  <c r="AB178" i="8"/>
  <c r="AC178" i="8"/>
  <c r="AD178" i="8"/>
  <c r="AB179" i="8"/>
  <c r="AC179" i="8"/>
  <c r="AD179" i="8"/>
  <c r="AB180" i="8"/>
  <c r="AC180" i="8"/>
  <c r="AD180" i="8"/>
  <c r="AC173" i="8"/>
  <c r="AB173" i="8"/>
  <c r="AD66" i="8"/>
  <c r="AC66" i="8"/>
  <c r="AB66" i="8"/>
  <c r="AB54" i="8"/>
  <c r="AD42" i="8"/>
  <c r="AC42" i="8"/>
  <c r="AB42" i="8"/>
  <c r="AB31" i="8"/>
  <c r="AC31" i="8"/>
  <c r="AD31" i="8"/>
  <c r="AB32" i="8"/>
  <c r="AC32" i="8"/>
  <c r="AD32" i="8"/>
  <c r="AB33" i="8"/>
  <c r="AC33" i="8"/>
  <c r="AD33" i="8"/>
  <c r="AB34" i="8"/>
  <c r="AC34" i="8"/>
  <c r="AD34" i="8"/>
  <c r="AB35" i="8"/>
  <c r="AC35" i="8"/>
  <c r="AD35" i="8"/>
  <c r="AB36" i="8"/>
  <c r="AC36" i="8"/>
  <c r="AD36" i="8"/>
  <c r="AB37" i="8"/>
  <c r="AC37" i="8"/>
  <c r="AD37" i="8"/>
  <c r="AD30" i="8"/>
  <c r="AC30" i="8"/>
  <c r="AB30" i="8"/>
  <c r="AB19" i="8"/>
  <c r="AC19" i="8"/>
  <c r="AB20" i="8"/>
  <c r="AC20" i="8"/>
  <c r="AB21" i="8"/>
  <c r="AC21" i="8"/>
  <c r="AB22" i="8"/>
  <c r="AC22" i="8"/>
  <c r="AB23" i="8"/>
  <c r="AC23" i="8"/>
  <c r="AB24" i="8"/>
  <c r="AC24" i="8"/>
  <c r="AC18" i="8"/>
  <c r="AB18" i="8"/>
  <c r="O18" i="8"/>
  <c r="T18" i="8"/>
  <c r="T19" i="8"/>
  <c r="T20" i="8"/>
  <c r="T22" i="8"/>
  <c r="T23" i="8"/>
  <c r="T21" i="8"/>
  <c r="T24" i="8"/>
  <c r="T25" i="8"/>
  <c r="G49" i="8"/>
  <c r="T49" i="8"/>
  <c r="T72" i="8"/>
  <c r="S72" i="8"/>
  <c r="S49" i="8"/>
  <c r="S25" i="8"/>
  <c r="R49" i="8"/>
  <c r="R25" i="8"/>
  <c r="R174" i="8"/>
  <c r="S174" i="8"/>
  <c r="T174" i="8"/>
  <c r="R175" i="8"/>
  <c r="S175" i="8"/>
  <c r="T175" i="8"/>
  <c r="R176" i="8"/>
  <c r="S176" i="8"/>
  <c r="T176" i="8"/>
  <c r="R177" i="8"/>
  <c r="S177" i="8"/>
  <c r="T177" i="8"/>
  <c r="R178" i="8"/>
  <c r="S178" i="8"/>
  <c r="T178" i="8"/>
  <c r="R179" i="8"/>
  <c r="S179" i="8"/>
  <c r="T179" i="8"/>
  <c r="R180" i="8"/>
  <c r="S180" i="8"/>
  <c r="T180" i="8"/>
  <c r="S173" i="8"/>
  <c r="R173" i="8"/>
  <c r="R67" i="8"/>
  <c r="S67" i="8"/>
  <c r="T67" i="8"/>
  <c r="R68" i="8"/>
  <c r="S68" i="8"/>
  <c r="T68" i="8"/>
  <c r="R69" i="8"/>
  <c r="S69" i="8"/>
  <c r="T69" i="8"/>
  <c r="R70" i="8"/>
  <c r="S70" i="8"/>
  <c r="T70" i="8"/>
  <c r="R71" i="8"/>
  <c r="S71" i="8"/>
  <c r="T71" i="8"/>
  <c r="R72" i="8"/>
  <c r="R73" i="8"/>
  <c r="S73" i="8"/>
  <c r="T73" i="8"/>
  <c r="T66" i="8"/>
  <c r="S66" i="8"/>
  <c r="R66" i="8"/>
  <c r="R55" i="8"/>
  <c r="S55" i="8"/>
  <c r="T55" i="8"/>
  <c r="R56" i="8"/>
  <c r="S56" i="8"/>
  <c r="T56" i="8"/>
  <c r="R57" i="8"/>
  <c r="S57" i="8"/>
  <c r="T57" i="8"/>
  <c r="R58" i="8"/>
  <c r="S58" i="8"/>
  <c r="T58" i="8"/>
  <c r="R59" i="8"/>
  <c r="S59" i="8"/>
  <c r="T59" i="8"/>
  <c r="R60" i="8"/>
  <c r="S60" i="8"/>
  <c r="T60" i="8"/>
  <c r="R61" i="8"/>
  <c r="S61" i="8"/>
  <c r="T61" i="8"/>
  <c r="T54" i="8"/>
  <c r="S54" i="8"/>
  <c r="R54" i="8"/>
  <c r="R43" i="8"/>
  <c r="S43" i="8"/>
  <c r="T43" i="8"/>
  <c r="R44" i="8"/>
  <c r="S44" i="8"/>
  <c r="T44" i="8"/>
  <c r="R45" i="8"/>
  <c r="S45" i="8"/>
  <c r="T45" i="8"/>
  <c r="R46" i="8"/>
  <c r="S46" i="8"/>
  <c r="T46" i="8"/>
  <c r="R47" i="8"/>
  <c r="S47" i="8"/>
  <c r="T47" i="8"/>
  <c r="R48" i="8"/>
  <c r="S48" i="8"/>
  <c r="T48" i="8"/>
  <c r="T42" i="8"/>
  <c r="S42" i="8"/>
  <c r="R42" i="8"/>
  <c r="R31" i="8"/>
  <c r="S31" i="8"/>
  <c r="T31" i="8"/>
  <c r="R32" i="8"/>
  <c r="S32" i="8"/>
  <c r="T32" i="8"/>
  <c r="R33" i="8"/>
  <c r="S33" i="8"/>
  <c r="T33" i="8"/>
  <c r="R34" i="8"/>
  <c r="S34" i="8"/>
  <c r="T34" i="8"/>
  <c r="R35" i="8"/>
  <c r="S35" i="8"/>
  <c r="T35" i="8"/>
  <c r="R36" i="8"/>
  <c r="S36" i="8"/>
  <c r="T36" i="8"/>
  <c r="R37" i="8"/>
  <c r="S37" i="8"/>
  <c r="T37" i="8"/>
  <c r="T30" i="8"/>
  <c r="S30" i="8"/>
  <c r="R30" i="8"/>
  <c r="R19" i="8"/>
  <c r="S19" i="8"/>
  <c r="R20" i="8"/>
  <c r="S20" i="8"/>
  <c r="R21" i="8"/>
  <c r="S21" i="8"/>
  <c r="R22" i="8"/>
  <c r="S22" i="8"/>
  <c r="R23" i="8"/>
  <c r="S23" i="8"/>
  <c r="R24" i="8"/>
  <c r="S24" i="8"/>
  <c r="S18" i="8"/>
  <c r="R18" i="8"/>
  <c r="D10" i="8"/>
  <c r="D11" i="8"/>
  <c r="D12" i="8"/>
  <c r="N4" i="2"/>
  <c r="N5" i="2"/>
  <c r="N6" i="2"/>
  <c r="N7" i="2"/>
  <c r="N8" i="2"/>
  <c r="N9" i="2"/>
  <c r="N10" i="2"/>
  <c r="N11" i="2"/>
  <c r="N12" i="2"/>
  <c r="N13" i="2"/>
  <c r="N14" i="2"/>
  <c r="N15" i="2"/>
  <c r="N16" i="2"/>
  <c r="N17" i="2"/>
  <c r="N18" i="2"/>
  <c r="N19" i="2"/>
  <c r="N20" i="2"/>
  <c r="N21" i="2"/>
  <c r="N22" i="2"/>
  <c r="N3" i="2"/>
  <c r="C22" i="5"/>
  <c r="H22" i="5" s="1"/>
  <c r="C21" i="5"/>
  <c r="H21" i="5" s="1"/>
  <c r="C20" i="5"/>
  <c r="H20" i="5" s="1"/>
  <c r="C19" i="5"/>
  <c r="H19" i="5" s="1"/>
  <c r="C18" i="5"/>
  <c r="H18" i="5" s="1"/>
  <c r="C17" i="5"/>
  <c r="H17" i="5" s="1"/>
  <c r="C16" i="5"/>
  <c r="H16" i="5" s="1"/>
  <c r="C15" i="5"/>
  <c r="H15" i="5" s="1"/>
  <c r="C14" i="5"/>
  <c r="H14" i="5" s="1"/>
  <c r="C13" i="5"/>
  <c r="H13" i="5" s="1"/>
  <c r="C12" i="5"/>
  <c r="H12" i="5" s="1"/>
  <c r="C11" i="5"/>
  <c r="H11" i="5" s="1"/>
  <c r="C10" i="5"/>
  <c r="H10" i="5" s="1"/>
  <c r="B6" i="3"/>
  <c r="D6" i="3" s="1"/>
  <c r="B87" i="8"/>
  <c r="B88" i="8"/>
  <c r="W88" i="8" s="1"/>
  <c r="B90" i="8"/>
  <c r="AA174" i="8"/>
  <c r="AA175" i="8"/>
  <c r="AA176" i="8"/>
  <c r="AA177" i="8"/>
  <c r="AA178" i="8"/>
  <c r="AA179" i="8"/>
  <c r="AA180" i="8"/>
  <c r="AA173" i="8"/>
  <c r="Z174" i="8"/>
  <c r="Z175" i="8"/>
  <c r="Z176" i="8"/>
  <c r="Z177" i="8"/>
  <c r="Z178" i="8"/>
  <c r="Z179" i="8"/>
  <c r="Z180" i="8"/>
  <c r="Z173" i="8"/>
  <c r="Y174" i="8"/>
  <c r="Y175" i="8"/>
  <c r="Y176" i="8"/>
  <c r="Y177" i="8"/>
  <c r="Y178" i="8"/>
  <c r="Y179" i="8"/>
  <c r="Y180" i="8"/>
  <c r="Y173" i="8"/>
  <c r="X174" i="8"/>
  <c r="X175" i="8"/>
  <c r="X176" i="8"/>
  <c r="X177" i="8"/>
  <c r="X178" i="8"/>
  <c r="X179" i="8"/>
  <c r="X180" i="8"/>
  <c r="X173" i="8"/>
  <c r="W174" i="8"/>
  <c r="W175" i="8"/>
  <c r="W176" i="8"/>
  <c r="W177" i="8"/>
  <c r="W178" i="8"/>
  <c r="W179" i="8"/>
  <c r="W180" i="8"/>
  <c r="B183" i="8"/>
  <c r="B185" i="8"/>
  <c r="I173" i="8"/>
  <c r="W173" i="8" s="1"/>
  <c r="Q174" i="8"/>
  <c r="Q175" i="8"/>
  <c r="Q176" i="8"/>
  <c r="Q177" i="8"/>
  <c r="Q178" i="8"/>
  <c r="Q179" i="8"/>
  <c r="Q180" i="8"/>
  <c r="Q173" i="8"/>
  <c r="P174" i="8"/>
  <c r="P175" i="8"/>
  <c r="P176" i="8"/>
  <c r="P177" i="8"/>
  <c r="P178" i="8"/>
  <c r="P179" i="8"/>
  <c r="P180" i="8"/>
  <c r="P173" i="8"/>
  <c r="O174" i="8"/>
  <c r="O175" i="8"/>
  <c r="O176" i="8"/>
  <c r="O177" i="8"/>
  <c r="O178" i="8"/>
  <c r="O179" i="8"/>
  <c r="O180" i="8"/>
  <c r="O173" i="8"/>
  <c r="N174" i="8"/>
  <c r="N175" i="8"/>
  <c r="N176" i="8"/>
  <c r="N177" i="8"/>
  <c r="N178" i="8"/>
  <c r="N179" i="8"/>
  <c r="N180" i="8"/>
  <c r="N173" i="8"/>
  <c r="M174" i="8"/>
  <c r="M175" i="8"/>
  <c r="M176" i="8"/>
  <c r="M177" i="8"/>
  <c r="M178" i="8"/>
  <c r="M179" i="8"/>
  <c r="M180" i="8"/>
  <c r="AA67" i="8"/>
  <c r="AA68" i="8"/>
  <c r="AA69" i="8"/>
  <c r="AA70" i="8"/>
  <c r="AA71" i="8"/>
  <c r="AA72" i="8"/>
  <c r="AA73" i="8"/>
  <c r="AA66" i="8"/>
  <c r="Z67" i="8"/>
  <c r="Z68" i="8"/>
  <c r="Z69" i="8"/>
  <c r="Z70" i="8"/>
  <c r="Z71" i="8"/>
  <c r="Z72" i="8"/>
  <c r="Z73" i="8"/>
  <c r="Z66" i="8"/>
  <c r="Y67" i="8"/>
  <c r="Y68" i="8"/>
  <c r="Y69" i="8"/>
  <c r="Y70" i="8"/>
  <c r="Y71" i="8"/>
  <c r="Y72" i="8"/>
  <c r="Y73" i="8"/>
  <c r="Y66" i="8"/>
  <c r="B75" i="8"/>
  <c r="B76" i="8"/>
  <c r="W76" i="8" s="1"/>
  <c r="B78" i="8"/>
  <c r="W78" i="8" s="1"/>
  <c r="I67" i="8"/>
  <c r="X67" i="8"/>
  <c r="X68" i="8"/>
  <c r="X69" i="8"/>
  <c r="X70" i="8"/>
  <c r="X71" i="8"/>
  <c r="X72" i="8"/>
  <c r="X73" i="8"/>
  <c r="X66" i="8"/>
  <c r="W67" i="8"/>
  <c r="W68" i="8"/>
  <c r="W69" i="8"/>
  <c r="W70" i="8"/>
  <c r="W71" i="8"/>
  <c r="W72" i="8"/>
  <c r="W73" i="8"/>
  <c r="W74" i="8"/>
  <c r="W85" i="8"/>
  <c r="W86" i="8"/>
  <c r="W97" i="8"/>
  <c r="W98" i="8"/>
  <c r="W109" i="8"/>
  <c r="W110" i="8"/>
  <c r="W121" i="8"/>
  <c r="W122" i="8"/>
  <c r="W133" i="8"/>
  <c r="W134" i="8"/>
  <c r="W145" i="8"/>
  <c r="W146" i="8"/>
  <c r="W150" i="8"/>
  <c r="W157" i="8"/>
  <c r="W158" i="8"/>
  <c r="B159" i="8"/>
  <c r="B160" i="8"/>
  <c r="B162" i="8"/>
  <c r="W162" i="8" s="1"/>
  <c r="I66" i="8"/>
  <c r="W66" i="8"/>
  <c r="Q67" i="8"/>
  <c r="Q68" i="8"/>
  <c r="Q69" i="8"/>
  <c r="Q70" i="8"/>
  <c r="Q71" i="8"/>
  <c r="Q72" i="8"/>
  <c r="Q73" i="8"/>
  <c r="Q66" i="8"/>
  <c r="P67" i="8"/>
  <c r="P68" i="8"/>
  <c r="P69" i="8"/>
  <c r="P70" i="8"/>
  <c r="P71" i="8"/>
  <c r="P72" i="8"/>
  <c r="P73" i="8"/>
  <c r="P66" i="8"/>
  <c r="O67" i="8"/>
  <c r="O68" i="8"/>
  <c r="O69" i="8"/>
  <c r="O70" i="8"/>
  <c r="O71" i="8"/>
  <c r="O72" i="8"/>
  <c r="O73" i="8"/>
  <c r="O66" i="8"/>
  <c r="N67" i="8"/>
  <c r="N68" i="8"/>
  <c r="N69" i="8"/>
  <c r="N70" i="8"/>
  <c r="N71" i="8"/>
  <c r="N72" i="8"/>
  <c r="N73" i="8"/>
  <c r="N66" i="8"/>
  <c r="M67" i="8"/>
  <c r="M68" i="8"/>
  <c r="M69" i="8"/>
  <c r="M70" i="8"/>
  <c r="M71" i="8"/>
  <c r="M72" i="8"/>
  <c r="M73" i="8"/>
  <c r="M66" i="8"/>
  <c r="I180" i="8"/>
  <c r="I179" i="8"/>
  <c r="I178" i="8"/>
  <c r="I177" i="8"/>
  <c r="I176" i="8"/>
  <c r="I175" i="8"/>
  <c r="I174" i="8"/>
  <c r="I73" i="8"/>
  <c r="I71" i="8"/>
  <c r="I70" i="8"/>
  <c r="I69" i="8"/>
  <c r="I68" i="8"/>
  <c r="AA55" i="8"/>
  <c r="AA56" i="8"/>
  <c r="AA57" i="8"/>
  <c r="AA58" i="8"/>
  <c r="AA59" i="8"/>
  <c r="AA60" i="8"/>
  <c r="AA61" i="8"/>
  <c r="G54" i="8"/>
  <c r="AA54" i="8" s="1"/>
  <c r="Z55" i="8"/>
  <c r="Z56" i="8"/>
  <c r="Z57" i="8"/>
  <c r="Z58" i="8"/>
  <c r="Z59" i="8"/>
  <c r="Z60" i="8"/>
  <c r="Z61" i="8"/>
  <c r="Z54" i="8"/>
  <c r="Y55" i="8"/>
  <c r="Y56" i="8"/>
  <c r="Y57" i="8"/>
  <c r="Y58" i="8"/>
  <c r="Y59" i="8"/>
  <c r="Y60" i="8"/>
  <c r="Y61" i="8"/>
  <c r="Y54" i="8"/>
  <c r="X55" i="8"/>
  <c r="X56" i="8"/>
  <c r="X57" i="8"/>
  <c r="X58" i="8"/>
  <c r="X59" i="8"/>
  <c r="X60" i="8"/>
  <c r="X61" i="8"/>
  <c r="X54" i="8"/>
  <c r="W55" i="8"/>
  <c r="W56" i="8"/>
  <c r="W57" i="8"/>
  <c r="W58" i="8"/>
  <c r="W59" i="8"/>
  <c r="W60" i="8"/>
  <c r="W61" i="8"/>
  <c r="W54" i="8"/>
  <c r="Q55" i="8"/>
  <c r="Q56" i="8"/>
  <c r="Q57" i="8"/>
  <c r="Q58" i="8"/>
  <c r="Q59" i="8"/>
  <c r="Q60" i="8"/>
  <c r="Q61" i="8"/>
  <c r="F54" i="8"/>
  <c r="Q54" i="8"/>
  <c r="P55" i="8"/>
  <c r="P56" i="8"/>
  <c r="P57" i="8"/>
  <c r="P58" i="8"/>
  <c r="P59" i="8"/>
  <c r="P60" i="8"/>
  <c r="P61" i="8"/>
  <c r="P54" i="8"/>
  <c r="O55" i="8"/>
  <c r="O56" i="8"/>
  <c r="O57" i="8"/>
  <c r="O58" i="8"/>
  <c r="O59" i="8"/>
  <c r="O60" i="8"/>
  <c r="O61" i="8"/>
  <c r="O54" i="8"/>
  <c r="N55" i="8"/>
  <c r="N56" i="8"/>
  <c r="N57" i="8"/>
  <c r="N58" i="8"/>
  <c r="N59" i="8"/>
  <c r="N60" i="8"/>
  <c r="N61" i="8"/>
  <c r="N54" i="8"/>
  <c r="M55" i="8"/>
  <c r="M56" i="8"/>
  <c r="M57" i="8"/>
  <c r="M58" i="8"/>
  <c r="M59" i="8"/>
  <c r="M60" i="8"/>
  <c r="M61" i="8"/>
  <c r="M54" i="8"/>
  <c r="G61" i="8"/>
  <c r="F61" i="8"/>
  <c r="G60" i="8"/>
  <c r="F60" i="8"/>
  <c r="G59" i="8"/>
  <c r="F59" i="8"/>
  <c r="G58" i="8"/>
  <c r="F58" i="8"/>
  <c r="G57" i="8"/>
  <c r="F57" i="8"/>
  <c r="G56" i="8"/>
  <c r="F56" i="8"/>
  <c r="G55" i="8"/>
  <c r="F55" i="8"/>
  <c r="H48" i="8"/>
  <c r="G48" i="8"/>
  <c r="H47" i="8"/>
  <c r="G47" i="8"/>
  <c r="H46" i="8"/>
  <c r="G46" i="8"/>
  <c r="H45" i="8"/>
  <c r="G45" i="8"/>
  <c r="H44" i="8"/>
  <c r="G44" i="8"/>
  <c r="H43" i="8"/>
  <c r="G43" i="8"/>
  <c r="H42" i="8"/>
  <c r="G42" i="8"/>
  <c r="AA43" i="8"/>
  <c r="AA44" i="8"/>
  <c r="AA45" i="8"/>
  <c r="AA46" i="8"/>
  <c r="AA47" i="8"/>
  <c r="AA48" i="8"/>
  <c r="AA49" i="8"/>
  <c r="AA42" i="8"/>
  <c r="Z43" i="8"/>
  <c r="Z44" i="8"/>
  <c r="Z45" i="8"/>
  <c r="Z46" i="8"/>
  <c r="Z47" i="8"/>
  <c r="Z48" i="8"/>
  <c r="Z49" i="8"/>
  <c r="Z42" i="8"/>
  <c r="Y43" i="8"/>
  <c r="Y44" i="8"/>
  <c r="Y45" i="8"/>
  <c r="Y46" i="8"/>
  <c r="Y47" i="8"/>
  <c r="Y48" i="8"/>
  <c r="Y49" i="8"/>
  <c r="Y42" i="8"/>
  <c r="X43" i="8"/>
  <c r="X44" i="8"/>
  <c r="X45" i="8"/>
  <c r="X46" i="8"/>
  <c r="X47" i="8"/>
  <c r="X48" i="8"/>
  <c r="X49" i="8"/>
  <c r="X42" i="8"/>
  <c r="W43" i="8"/>
  <c r="W44" i="8"/>
  <c r="W45" i="8"/>
  <c r="W46" i="8"/>
  <c r="W47" i="8"/>
  <c r="W48" i="8"/>
  <c r="W49" i="8"/>
  <c r="W42" i="8"/>
  <c r="Q43" i="8"/>
  <c r="Q44" i="8"/>
  <c r="Q45" i="8"/>
  <c r="Q46" i="8"/>
  <c r="Q47" i="8"/>
  <c r="Q48" i="8"/>
  <c r="Q49" i="8"/>
  <c r="Q42" i="8"/>
  <c r="P43" i="8"/>
  <c r="P44" i="8"/>
  <c r="P45" i="8"/>
  <c r="P46" i="8"/>
  <c r="P47" i="8"/>
  <c r="P48" i="8"/>
  <c r="P49" i="8"/>
  <c r="P42" i="8"/>
  <c r="O43" i="8"/>
  <c r="O44" i="8"/>
  <c r="O45" i="8"/>
  <c r="O46" i="8"/>
  <c r="O47" i="8"/>
  <c r="O48" i="8"/>
  <c r="O49" i="8"/>
  <c r="O42" i="8"/>
  <c r="N43" i="8"/>
  <c r="N44" i="8"/>
  <c r="N45" i="8"/>
  <c r="N46" i="8"/>
  <c r="N47" i="8"/>
  <c r="N48" i="8"/>
  <c r="N49" i="8"/>
  <c r="N42" i="8"/>
  <c r="M43" i="8"/>
  <c r="M44" i="8"/>
  <c r="M45" i="8"/>
  <c r="M46" i="8"/>
  <c r="M47" i="8"/>
  <c r="M48" i="8"/>
  <c r="M49" i="8"/>
  <c r="M42" i="8"/>
  <c r="AA31" i="8"/>
  <c r="AA32" i="8"/>
  <c r="AA33" i="8"/>
  <c r="AA34" i="8"/>
  <c r="AA35" i="8"/>
  <c r="AA36" i="8"/>
  <c r="AA37" i="8"/>
  <c r="AA30" i="8"/>
  <c r="Z31" i="8"/>
  <c r="Z32" i="8"/>
  <c r="Z33" i="8"/>
  <c r="Z34" i="8"/>
  <c r="Z35" i="8"/>
  <c r="Z36" i="8"/>
  <c r="Z37" i="8"/>
  <c r="Y31" i="8"/>
  <c r="Y32" i="8"/>
  <c r="Y33" i="8"/>
  <c r="Y34" i="8"/>
  <c r="Y35" i="8"/>
  <c r="Y36" i="8"/>
  <c r="Y37" i="8"/>
  <c r="Y30" i="8"/>
  <c r="X31" i="8"/>
  <c r="X32" i="8"/>
  <c r="X33" i="8"/>
  <c r="X34" i="8"/>
  <c r="X35" i="8"/>
  <c r="X36" i="8"/>
  <c r="X37" i="8"/>
  <c r="X30" i="8"/>
  <c r="W33" i="8"/>
  <c r="W34" i="8"/>
  <c r="W35" i="8"/>
  <c r="W36" i="8"/>
  <c r="W37" i="8"/>
  <c r="W32" i="8"/>
  <c r="W31" i="8"/>
  <c r="M31" i="8"/>
  <c r="W30" i="8"/>
  <c r="P30" i="8"/>
  <c r="Q31" i="8"/>
  <c r="Q32" i="8"/>
  <c r="Q33" i="8"/>
  <c r="Q34" i="8"/>
  <c r="Q35" i="8"/>
  <c r="Q36" i="8"/>
  <c r="Q37" i="8"/>
  <c r="Q30" i="8"/>
  <c r="P31" i="8"/>
  <c r="P32" i="8"/>
  <c r="P33" i="8"/>
  <c r="P34" i="8"/>
  <c r="P35" i="8"/>
  <c r="P36" i="8"/>
  <c r="P37" i="8"/>
  <c r="O31" i="8"/>
  <c r="O32" i="8"/>
  <c r="O33" i="8"/>
  <c r="O34" i="8"/>
  <c r="O35" i="8"/>
  <c r="O36" i="8"/>
  <c r="O37" i="8"/>
  <c r="O30" i="8"/>
  <c r="N31" i="8"/>
  <c r="N32" i="8"/>
  <c r="N33" i="8"/>
  <c r="N34" i="8"/>
  <c r="N35" i="8"/>
  <c r="N36" i="8"/>
  <c r="N37" i="8"/>
  <c r="N30" i="8"/>
  <c r="M32" i="8"/>
  <c r="M33" i="8"/>
  <c r="M34" i="8"/>
  <c r="M35" i="8"/>
  <c r="M36" i="8"/>
  <c r="M37" i="8"/>
  <c r="M30" i="8"/>
  <c r="AA19" i="8"/>
  <c r="AA20" i="8"/>
  <c r="AA21" i="8"/>
  <c r="AA22" i="8"/>
  <c r="AA23" i="8"/>
  <c r="AA24" i="8"/>
  <c r="AA25" i="8"/>
  <c r="AA18" i="8"/>
  <c r="Z19" i="8"/>
  <c r="Z20" i="8"/>
  <c r="Z21" i="8"/>
  <c r="Z22" i="8"/>
  <c r="Z23" i="8"/>
  <c r="Z24" i="8"/>
  <c r="Z25" i="8"/>
  <c r="Z18" i="8"/>
  <c r="Y19" i="8"/>
  <c r="Y20" i="8"/>
  <c r="Y21" i="8"/>
  <c r="Y22" i="8"/>
  <c r="Y23" i="8"/>
  <c r="Y24" i="8"/>
  <c r="Y25" i="8"/>
  <c r="Y18" i="8"/>
  <c r="X22" i="8"/>
  <c r="X23" i="8"/>
  <c r="X24" i="8"/>
  <c r="X25" i="8"/>
  <c r="X18" i="8"/>
  <c r="W19" i="8"/>
  <c r="W20" i="8"/>
  <c r="W21" i="8"/>
  <c r="W23" i="8"/>
  <c r="W24" i="8"/>
  <c r="W25" i="8"/>
  <c r="Q19" i="8"/>
  <c r="Q20" i="8"/>
  <c r="Q21" i="8"/>
  <c r="Q22" i="8"/>
  <c r="Q23" i="8"/>
  <c r="Q24" i="8"/>
  <c r="Q25" i="8"/>
  <c r="Q18" i="8"/>
  <c r="P19" i="8"/>
  <c r="P20" i="8"/>
  <c r="P21" i="8"/>
  <c r="P22" i="8"/>
  <c r="P23" i="8"/>
  <c r="P24" i="8"/>
  <c r="P25" i="8"/>
  <c r="P18" i="8"/>
  <c r="O19" i="8"/>
  <c r="O20" i="8"/>
  <c r="O21" i="8"/>
  <c r="O22" i="8"/>
  <c r="O23" i="8"/>
  <c r="O24" i="8"/>
  <c r="O25" i="8"/>
  <c r="N19" i="8"/>
  <c r="N20" i="8"/>
  <c r="N21" i="8"/>
  <c r="N22" i="8"/>
  <c r="N23" i="8"/>
  <c r="N24" i="8"/>
  <c r="N25" i="8"/>
  <c r="N18" i="8"/>
  <c r="M19" i="8"/>
  <c r="M20" i="8"/>
  <c r="M21" i="8"/>
  <c r="M22" i="8"/>
  <c r="M23" i="8"/>
  <c r="M24" i="8"/>
  <c r="M25" i="8"/>
  <c r="B9" i="3"/>
  <c r="D9" i="3" s="1"/>
  <c r="N7" i="1"/>
  <c r="P7" i="1" s="1"/>
  <c r="O7" i="1" s="1"/>
  <c r="B8" i="3"/>
  <c r="D8" i="3" s="1"/>
  <c r="N6" i="1"/>
  <c r="P6" i="1" s="1"/>
  <c r="O6" i="1" s="1"/>
  <c r="B7" i="3"/>
  <c r="D7" i="3" s="1"/>
  <c r="N5" i="1"/>
  <c r="P5" i="1" s="1"/>
  <c r="O5" i="1" s="1"/>
  <c r="N4" i="1"/>
  <c r="P4" i="1" s="1"/>
  <c r="O4" i="1" s="1"/>
  <c r="G22" i="5"/>
  <c r="G21" i="5"/>
  <c r="G20" i="5"/>
  <c r="G19" i="5"/>
  <c r="G18" i="5"/>
  <c r="G17" i="5"/>
  <c r="G16" i="5"/>
  <c r="G15" i="5"/>
  <c r="G14" i="5"/>
  <c r="G13" i="5"/>
  <c r="G12" i="5"/>
  <c r="G11" i="5"/>
  <c r="G10" i="5"/>
  <c r="G9" i="5"/>
  <c r="G8" i="5"/>
  <c r="G7" i="5"/>
  <c r="G6" i="5"/>
  <c r="G5" i="5"/>
  <c r="G4" i="5"/>
  <c r="G3" i="5"/>
  <c r="X3" i="5"/>
  <c r="X4" i="5"/>
  <c r="X5" i="5"/>
  <c r="X7" i="5"/>
  <c r="X8" i="5"/>
  <c r="X9" i="5"/>
  <c r="X10" i="5"/>
  <c r="B14" i="3"/>
  <c r="D14" i="3"/>
  <c r="F14" i="3"/>
  <c r="X11" i="5"/>
  <c r="X12" i="5"/>
  <c r="X13" i="5"/>
  <c r="X14" i="5"/>
  <c r="X15" i="5"/>
  <c r="X16" i="5"/>
  <c r="X17" i="5"/>
  <c r="X18" i="5"/>
  <c r="X19" i="5"/>
  <c r="X20" i="5"/>
  <c r="X21" i="5"/>
  <c r="X22" i="5"/>
  <c r="W3" i="5"/>
  <c r="W4" i="5"/>
  <c r="W5" i="5"/>
  <c r="W6" i="5"/>
  <c r="W7" i="5"/>
  <c r="W8" i="5"/>
  <c r="W9" i="5"/>
  <c r="W10" i="5"/>
  <c r="W11" i="5"/>
  <c r="B15" i="3"/>
  <c r="D15" i="3"/>
  <c r="F15" i="3"/>
  <c r="W12" i="5"/>
  <c r="W13" i="5"/>
  <c r="W14" i="5"/>
  <c r="W15" i="5"/>
  <c r="W16" i="5"/>
  <c r="W17" i="5"/>
  <c r="W18" i="5"/>
  <c r="W19" i="5"/>
  <c r="W20" i="5"/>
  <c r="W21" i="5"/>
  <c r="W22" i="5"/>
  <c r="U3" i="5"/>
  <c r="V3" i="5"/>
  <c r="U4" i="5"/>
  <c r="V4" i="5"/>
  <c r="U5" i="5"/>
  <c r="V5" i="5"/>
  <c r="U6" i="5"/>
  <c r="V6" i="5"/>
  <c r="U7" i="5"/>
  <c r="V7" i="5"/>
  <c r="U8" i="5"/>
  <c r="V8" i="5"/>
  <c r="U9" i="5"/>
  <c r="V9" i="5"/>
  <c r="U10" i="5"/>
  <c r="V10" i="5"/>
  <c r="U11" i="5"/>
  <c r="V11" i="5"/>
  <c r="U12" i="5"/>
  <c r="V12" i="5"/>
  <c r="U13" i="5"/>
  <c r="B16" i="3"/>
  <c r="D16" i="3"/>
  <c r="F16" i="3"/>
  <c r="V13" i="5"/>
  <c r="U14" i="5"/>
  <c r="V14" i="5"/>
  <c r="U15" i="5"/>
  <c r="V15" i="5"/>
  <c r="U16" i="5"/>
  <c r="V16" i="5"/>
  <c r="U17" i="5"/>
  <c r="V17" i="5"/>
  <c r="U18" i="5"/>
  <c r="V18" i="5"/>
  <c r="U19" i="5"/>
  <c r="V19" i="5"/>
  <c r="U20" i="5"/>
  <c r="V20" i="5"/>
  <c r="U21" i="5"/>
  <c r="V21" i="5"/>
  <c r="U22" i="5"/>
  <c r="V22" i="5"/>
  <c r="S3" i="5"/>
  <c r="T3" i="5"/>
  <c r="S4" i="5"/>
  <c r="T4" i="5"/>
  <c r="S5" i="5"/>
  <c r="T5" i="5"/>
  <c r="S6" i="5"/>
  <c r="T6" i="5"/>
  <c r="S7" i="5"/>
  <c r="T7" i="5"/>
  <c r="S8" i="5"/>
  <c r="T8" i="5"/>
  <c r="B12" i="3"/>
  <c r="D12" i="3" s="1"/>
  <c r="S9" i="5"/>
  <c r="T9" i="5"/>
  <c r="S10" i="5"/>
  <c r="T10" i="5"/>
  <c r="S11" i="5"/>
  <c r="T11" i="5"/>
  <c r="S12" i="5"/>
  <c r="T12" i="5"/>
  <c r="S13" i="5"/>
  <c r="T13" i="5"/>
  <c r="S14" i="5"/>
  <c r="T14" i="5"/>
  <c r="S15" i="5"/>
  <c r="T15" i="5"/>
  <c r="S16" i="5"/>
  <c r="T16" i="5"/>
  <c r="S17" i="5"/>
  <c r="T17" i="5"/>
  <c r="S18" i="5"/>
  <c r="T18" i="5"/>
  <c r="S19" i="5"/>
  <c r="T19" i="5"/>
  <c r="S20" i="5"/>
  <c r="T20" i="5"/>
  <c r="S21" i="5"/>
  <c r="T21" i="5"/>
  <c r="S22" i="5"/>
  <c r="T22" i="5"/>
  <c r="R5" i="5"/>
  <c r="R6" i="5"/>
  <c r="B10" i="3"/>
  <c r="D10" i="3" s="1"/>
  <c r="R7" i="5"/>
  <c r="R8" i="5"/>
  <c r="R9" i="5"/>
  <c r="R10" i="5"/>
  <c r="R11" i="5"/>
  <c r="R12" i="5"/>
  <c r="R13" i="5"/>
  <c r="R14" i="5"/>
  <c r="R16" i="5"/>
  <c r="R17" i="5"/>
  <c r="R18" i="5"/>
  <c r="R19" i="5"/>
  <c r="R20" i="5"/>
  <c r="R21" i="5"/>
  <c r="R22" i="5"/>
  <c r="Q3" i="5"/>
  <c r="Q4" i="5"/>
  <c r="Q5" i="5"/>
  <c r="Q6" i="5"/>
  <c r="Q7" i="5"/>
  <c r="Q8" i="5"/>
  <c r="Q9" i="5"/>
  <c r="Q10" i="5"/>
  <c r="Q11" i="5"/>
  <c r="Q12" i="5"/>
  <c r="Q13" i="5"/>
  <c r="Q14" i="5"/>
  <c r="Q15" i="5"/>
  <c r="Q16" i="5"/>
  <c r="Q17" i="5"/>
  <c r="Q18" i="5"/>
  <c r="B22" i="3"/>
  <c r="D22" i="3"/>
  <c r="F22" i="3"/>
  <c r="Q19" i="5"/>
  <c r="Q20" i="5"/>
  <c r="Q21" i="5"/>
  <c r="Q22" i="5"/>
  <c r="P3" i="5"/>
  <c r="P4" i="5"/>
  <c r="P5" i="5"/>
  <c r="P6" i="5"/>
  <c r="P7" i="5"/>
  <c r="P8" i="5"/>
  <c r="P9" i="5"/>
  <c r="P10" i="5"/>
  <c r="P11" i="5"/>
  <c r="P12" i="5"/>
  <c r="P14" i="5"/>
  <c r="P15" i="5"/>
  <c r="P16" i="5"/>
  <c r="P17" i="5"/>
  <c r="P18" i="5"/>
  <c r="P19" i="5"/>
  <c r="P20" i="5"/>
  <c r="P21" i="5"/>
  <c r="P22" i="5"/>
  <c r="O3" i="5"/>
  <c r="O4" i="5"/>
  <c r="O5" i="5"/>
  <c r="O6" i="5"/>
  <c r="O7" i="5"/>
  <c r="O8" i="5"/>
  <c r="O9" i="5"/>
  <c r="O10" i="5"/>
  <c r="O11" i="5"/>
  <c r="O12" i="5"/>
  <c r="O13" i="5"/>
  <c r="O14" i="5"/>
  <c r="O15" i="5"/>
  <c r="O16" i="5"/>
  <c r="O17" i="5"/>
  <c r="O18" i="5"/>
  <c r="O19" i="5"/>
  <c r="O20" i="5"/>
  <c r="O21" i="5"/>
  <c r="O22" i="5"/>
  <c r="B11" i="3"/>
  <c r="D11" i="3" s="1"/>
  <c r="B13" i="3"/>
  <c r="D13" i="3"/>
  <c r="F13" i="3"/>
  <c r="B17" i="3"/>
  <c r="D17" i="3"/>
  <c r="F17" i="3"/>
  <c r="B18" i="3"/>
  <c r="D18" i="3"/>
  <c r="F18" i="3"/>
  <c r="B19" i="3"/>
  <c r="D19" i="3"/>
  <c r="F19" i="3"/>
  <c r="B20" i="3"/>
  <c r="D20" i="3"/>
  <c r="F20" i="3"/>
  <c r="B21" i="3"/>
  <c r="D21" i="3"/>
  <c r="F21" i="3"/>
  <c r="B23" i="3"/>
  <c r="D23" i="3"/>
  <c r="F23" i="3"/>
  <c r="B25" i="3"/>
  <c r="D25" i="3"/>
  <c r="F25" i="3"/>
  <c r="B24" i="3"/>
  <c r="D24" i="3"/>
  <c r="F24" i="3"/>
  <c r="J5" i="5"/>
  <c r="J7" i="5"/>
  <c r="J8" i="5"/>
  <c r="J9" i="5"/>
  <c r="J10" i="5"/>
  <c r="J11" i="5"/>
  <c r="J12" i="5"/>
  <c r="J13" i="5"/>
  <c r="J14" i="5"/>
  <c r="J15" i="5"/>
  <c r="J16" i="5"/>
  <c r="J17" i="5"/>
  <c r="J18" i="5"/>
  <c r="J19" i="5"/>
  <c r="J20" i="5"/>
  <c r="J21" i="5"/>
  <c r="J22" i="5"/>
  <c r="F22" i="5"/>
  <c r="F21" i="5"/>
  <c r="F20" i="5"/>
  <c r="F19" i="5"/>
  <c r="F18" i="5"/>
  <c r="F17" i="5"/>
  <c r="F16" i="5"/>
  <c r="F15" i="5"/>
  <c r="F14" i="5"/>
  <c r="F13" i="5"/>
  <c r="F12" i="5"/>
  <c r="F11" i="5"/>
  <c r="F10" i="5"/>
  <c r="F9" i="5"/>
  <c r="F8" i="5"/>
  <c r="F7" i="5"/>
  <c r="F6" i="5"/>
  <c r="F5" i="5"/>
  <c r="F4" i="5"/>
  <c r="A1" i="2"/>
  <c r="A3" i="3"/>
  <c r="N23" i="1"/>
  <c r="P23" i="1" s="1"/>
  <c r="O23" i="1" s="1"/>
  <c r="N22" i="1"/>
  <c r="H20" i="11" s="1"/>
  <c r="N21" i="1"/>
  <c r="P21" i="1" s="1"/>
  <c r="O21" i="1" s="1"/>
  <c r="N20" i="1"/>
  <c r="H18" i="11" s="1"/>
  <c r="N19" i="1"/>
  <c r="P19" i="1" s="1"/>
  <c r="O19" i="1" s="1"/>
  <c r="N18" i="1"/>
  <c r="P18" i="1" s="1"/>
  <c r="O18" i="1" s="1"/>
  <c r="N17" i="1"/>
  <c r="P17" i="1" s="1"/>
  <c r="O17" i="1" s="1"/>
  <c r="N16" i="1"/>
  <c r="P16" i="1" s="1"/>
  <c r="O16" i="1" s="1"/>
  <c r="N15" i="1"/>
  <c r="P15" i="1" s="1"/>
  <c r="O15" i="1" s="1"/>
  <c r="N14" i="1"/>
  <c r="P14" i="1" s="1"/>
  <c r="O14" i="1" s="1"/>
  <c r="N13" i="1"/>
  <c r="P13" i="1" s="1"/>
  <c r="O13" i="1" s="1"/>
  <c r="N12" i="1"/>
  <c r="P12" i="1" s="1"/>
  <c r="O12" i="1" s="1"/>
  <c r="N11" i="1"/>
  <c r="P11" i="1" s="1"/>
  <c r="O11" i="1" s="1"/>
  <c r="N10" i="1"/>
  <c r="P10" i="1" s="1"/>
  <c r="O10" i="1" s="1"/>
  <c r="N9" i="1"/>
  <c r="P9" i="1" s="1"/>
  <c r="O9" i="1" s="1"/>
  <c r="N8" i="1"/>
  <c r="P8" i="1" s="1"/>
  <c r="O8" i="1" s="1"/>
  <c r="B267" i="8"/>
  <c r="B255" i="8"/>
  <c r="B243" i="8"/>
  <c r="B231" i="8"/>
  <c r="B219" i="8"/>
  <c r="B207" i="8"/>
  <c r="B195" i="8"/>
  <c r="B266" i="8"/>
  <c r="B254" i="8"/>
  <c r="C258" i="8" s="1"/>
  <c r="B242" i="8"/>
  <c r="B230" i="8"/>
  <c r="B218" i="8"/>
  <c r="B206" i="8"/>
  <c r="B194" i="8"/>
  <c r="B182" i="8"/>
  <c r="B269" i="8"/>
  <c r="B257" i="8"/>
  <c r="B245" i="8"/>
  <c r="B233" i="8"/>
  <c r="D226" i="8"/>
  <c r="B221" i="8"/>
  <c r="B209" i="8"/>
  <c r="B197" i="8"/>
  <c r="H13" i="3"/>
  <c r="H14" i="3"/>
  <c r="H15" i="3"/>
  <c r="H16" i="3"/>
  <c r="H17" i="3"/>
  <c r="H18" i="3"/>
  <c r="H19" i="3"/>
  <c r="H20" i="3"/>
  <c r="H21" i="3"/>
  <c r="H22" i="3"/>
  <c r="H23" i="3"/>
  <c r="H24" i="3"/>
  <c r="H25" i="3"/>
  <c r="M5" i="1"/>
  <c r="M6" i="1"/>
  <c r="M7" i="1"/>
  <c r="M8" i="1"/>
  <c r="M9" i="1"/>
  <c r="M10" i="1"/>
  <c r="M11" i="1"/>
  <c r="M12" i="1"/>
  <c r="M13" i="1"/>
  <c r="M14" i="1"/>
  <c r="M15" i="1"/>
  <c r="M16" i="1"/>
  <c r="M17" i="1"/>
  <c r="M18" i="1"/>
  <c r="M19" i="1"/>
  <c r="M20" i="1"/>
  <c r="M21" i="1"/>
  <c r="M22" i="1"/>
  <c r="M23" i="1"/>
  <c r="M4" i="1"/>
  <c r="M7" i="3"/>
  <c r="M8" i="3"/>
  <c r="M9" i="3"/>
  <c r="M10" i="3"/>
  <c r="M11" i="3"/>
  <c r="M12" i="3"/>
  <c r="M13" i="3"/>
  <c r="M14" i="3"/>
  <c r="M15" i="3"/>
  <c r="M16" i="3"/>
  <c r="M17" i="3"/>
  <c r="M18" i="3"/>
  <c r="M19" i="3"/>
  <c r="M20" i="3"/>
  <c r="M21" i="3"/>
  <c r="M22" i="3"/>
  <c r="M23" i="3"/>
  <c r="M24" i="3"/>
  <c r="M25" i="3"/>
  <c r="M6" i="3"/>
  <c r="L7" i="3"/>
  <c r="L8" i="3"/>
  <c r="L9" i="3"/>
  <c r="L11" i="3"/>
  <c r="L12" i="3"/>
  <c r="L13" i="3"/>
  <c r="L14" i="3"/>
  <c r="L15" i="3"/>
  <c r="L16" i="3"/>
  <c r="L17" i="3"/>
  <c r="L18" i="3"/>
  <c r="L19" i="3"/>
  <c r="L20" i="3"/>
  <c r="L21" i="3"/>
  <c r="L22" i="3"/>
  <c r="L23" i="3"/>
  <c r="L24" i="3"/>
  <c r="L25" i="3"/>
  <c r="L6" i="3"/>
  <c r="K7" i="3"/>
  <c r="K8" i="3"/>
  <c r="K9" i="3"/>
  <c r="K11" i="3"/>
  <c r="K12" i="3"/>
  <c r="K13" i="3"/>
  <c r="K14" i="3"/>
  <c r="K15" i="3"/>
  <c r="K16" i="3"/>
  <c r="K17" i="3"/>
  <c r="K18" i="3"/>
  <c r="K19" i="3"/>
  <c r="K20" i="3"/>
  <c r="K21" i="3"/>
  <c r="K22" i="3"/>
  <c r="K23" i="3"/>
  <c r="K24" i="3"/>
  <c r="K25" i="3"/>
  <c r="K6" i="3"/>
  <c r="J13" i="3"/>
  <c r="J14" i="3"/>
  <c r="J15" i="3"/>
  <c r="J16" i="3"/>
  <c r="J17" i="3"/>
  <c r="J18" i="3"/>
  <c r="J19" i="3"/>
  <c r="J20" i="3"/>
  <c r="J21" i="3"/>
  <c r="J22" i="3"/>
  <c r="J23" i="3"/>
  <c r="J24" i="3"/>
  <c r="J25" i="3"/>
  <c r="I8" i="3"/>
  <c r="I10" i="3"/>
  <c r="I11" i="3"/>
  <c r="I12" i="3"/>
  <c r="I13" i="3"/>
  <c r="I14" i="3"/>
  <c r="I15" i="3"/>
  <c r="I16" i="3"/>
  <c r="I17" i="3"/>
  <c r="I18" i="3"/>
  <c r="I19" i="3"/>
  <c r="I20" i="3"/>
  <c r="I21" i="3"/>
  <c r="I22" i="3"/>
  <c r="I23" i="3"/>
  <c r="I24" i="3"/>
  <c r="I25" i="3"/>
  <c r="B126" i="8"/>
  <c r="W126" i="8" s="1"/>
  <c r="B123" i="8"/>
  <c r="B124" i="8"/>
  <c r="W124" i="8" s="1"/>
  <c r="B102" i="8"/>
  <c r="W102" i="8" s="1"/>
  <c r="B99" i="8"/>
  <c r="B100" i="8"/>
  <c r="W100" i="8" s="1"/>
  <c r="C261" i="8"/>
  <c r="C213" i="8"/>
  <c r="B112" i="8"/>
  <c r="W112" i="8" s="1"/>
  <c r="B111" i="8"/>
  <c r="C117" i="8" s="1"/>
  <c r="B114" i="8"/>
  <c r="W114" i="8" s="1"/>
  <c r="B135" i="8"/>
  <c r="B136" i="8"/>
  <c r="W136" i="8" s="1"/>
  <c r="B138" i="8"/>
  <c r="D5" i="8"/>
  <c r="D6" i="8"/>
  <c r="D7" i="8"/>
  <c r="D8" i="8"/>
  <c r="D9" i="8"/>
  <c r="D22" i="5"/>
  <c r="D21" i="5"/>
  <c r="D20" i="5"/>
  <c r="D19" i="5"/>
  <c r="D18" i="5"/>
  <c r="D17" i="5"/>
  <c r="D16" i="5"/>
  <c r="D15" i="5"/>
  <c r="D14" i="5"/>
  <c r="D13" i="5"/>
  <c r="D12" i="5"/>
  <c r="D11" i="5"/>
  <c r="D10" i="5"/>
  <c r="D9" i="5"/>
  <c r="D8" i="5"/>
  <c r="D7" i="5"/>
  <c r="D6" i="5"/>
  <c r="D5" i="5"/>
  <c r="D4" i="5"/>
  <c r="D3" i="5"/>
  <c r="A3" i="5"/>
  <c r="A4" i="5"/>
  <c r="A5" i="5"/>
  <c r="A6" i="5"/>
  <c r="A7" i="5"/>
  <c r="A8" i="5"/>
  <c r="A9" i="5"/>
  <c r="A10" i="5"/>
  <c r="A11" i="5"/>
  <c r="A12" i="5"/>
  <c r="A13" i="5"/>
  <c r="A14" i="5"/>
  <c r="A15" i="5"/>
  <c r="A17" i="5"/>
  <c r="A18" i="5"/>
  <c r="A19" i="5"/>
  <c r="A20" i="5"/>
  <c r="A21" i="5"/>
  <c r="A22" i="5"/>
  <c r="A16" i="5"/>
  <c r="G7" i="3"/>
  <c r="G8" i="3"/>
  <c r="G9" i="3"/>
  <c r="G10" i="3"/>
  <c r="G11" i="3"/>
  <c r="G12" i="3"/>
  <c r="G13" i="3"/>
  <c r="G14" i="3"/>
  <c r="G15" i="3"/>
  <c r="G16" i="3"/>
  <c r="G17" i="3"/>
  <c r="G18" i="3"/>
  <c r="G19" i="3"/>
  <c r="G20" i="3"/>
  <c r="G21" i="3"/>
  <c r="G22" i="3"/>
  <c r="G23" i="3"/>
  <c r="G24" i="3"/>
  <c r="G25" i="3"/>
  <c r="G6" i="3"/>
  <c r="E13" i="3"/>
  <c r="E14" i="3"/>
  <c r="E15" i="3"/>
  <c r="E16" i="3"/>
  <c r="E17" i="3"/>
  <c r="E18" i="3"/>
  <c r="E19" i="3"/>
  <c r="E20" i="3"/>
  <c r="E21" i="3"/>
  <c r="E22" i="3"/>
  <c r="E23" i="3"/>
  <c r="E24" i="3"/>
  <c r="E25" i="3"/>
  <c r="C7" i="3"/>
  <c r="C8" i="3"/>
  <c r="C9" i="3"/>
  <c r="C10" i="3"/>
  <c r="C11" i="3"/>
  <c r="C12" i="3"/>
  <c r="C13" i="3"/>
  <c r="C14" i="3"/>
  <c r="C15" i="3"/>
  <c r="C16" i="3"/>
  <c r="C17" i="3"/>
  <c r="C18" i="3"/>
  <c r="C19" i="3"/>
  <c r="C20" i="3"/>
  <c r="C21" i="3"/>
  <c r="C22" i="3"/>
  <c r="C23" i="3"/>
  <c r="C24" i="3"/>
  <c r="C25" i="3"/>
  <c r="C6" i="3"/>
  <c r="A25" i="3"/>
  <c r="A24" i="3"/>
  <c r="A23" i="3"/>
  <c r="A22" i="3"/>
  <c r="A21" i="3"/>
  <c r="A20" i="3"/>
  <c r="A19" i="3"/>
  <c r="A18" i="3"/>
  <c r="A17" i="3"/>
  <c r="A16" i="3"/>
  <c r="A15" i="3"/>
  <c r="A14" i="3"/>
  <c r="A13" i="3"/>
  <c r="A12" i="3"/>
  <c r="A11" i="3"/>
  <c r="A10" i="3"/>
  <c r="A9" i="3"/>
  <c r="A8" i="3"/>
  <c r="A7" i="3"/>
  <c r="A6" i="3"/>
  <c r="M4" i="2"/>
  <c r="M5" i="2"/>
  <c r="M6" i="2"/>
  <c r="M7" i="2"/>
  <c r="M8" i="2"/>
  <c r="M9" i="2"/>
  <c r="M10" i="2"/>
  <c r="M11" i="2"/>
  <c r="M12" i="2"/>
  <c r="M13" i="2"/>
  <c r="M14" i="2"/>
  <c r="M15" i="2"/>
  <c r="M16" i="2"/>
  <c r="M17" i="2"/>
  <c r="M18" i="2"/>
  <c r="M19" i="2"/>
  <c r="M20" i="2"/>
  <c r="M21" i="2"/>
  <c r="M22" i="2"/>
  <c r="M3" i="2"/>
  <c r="M3" i="1"/>
  <c r="B5" i="1"/>
  <c r="G3" i="11" s="1"/>
  <c r="B6" i="1"/>
  <c r="G4" i="11" s="1"/>
  <c r="B7" i="1"/>
  <c r="G5" i="11" s="1"/>
  <c r="B8" i="1"/>
  <c r="G6" i="11" s="1"/>
  <c r="B9" i="1"/>
  <c r="G7" i="11" s="1"/>
  <c r="B10" i="1"/>
  <c r="G8" i="11" s="1"/>
  <c r="B11" i="1"/>
  <c r="B12" i="1"/>
  <c r="B13" i="1"/>
  <c r="G11" i="11" s="1"/>
  <c r="B14" i="1"/>
  <c r="B15" i="1"/>
  <c r="B16" i="1"/>
  <c r="B17" i="1"/>
  <c r="G15" i="11" s="1"/>
  <c r="B18" i="1"/>
  <c r="B19" i="1"/>
  <c r="B20" i="1"/>
  <c r="B21" i="1"/>
  <c r="G19" i="11" s="1"/>
  <c r="B22" i="1"/>
  <c r="B23" i="1"/>
  <c r="G21" i="11" s="1"/>
  <c r="B4" i="1"/>
  <c r="G2" i="11" s="1"/>
  <c r="C129" i="8"/>
  <c r="C107" i="8"/>
  <c r="C105" i="8"/>
  <c r="Q10" i="10"/>
  <c r="Q8" i="10"/>
  <c r="G8" i="10"/>
  <c r="L8" i="10"/>
  <c r="L18" i="10"/>
  <c r="L16" i="10"/>
  <c r="G24" i="10"/>
  <c r="L26" i="10"/>
  <c r="L24" i="10"/>
  <c r="G32" i="10"/>
  <c r="L32" i="10"/>
  <c r="Q34" i="10"/>
  <c r="J9" i="10"/>
  <c r="O17" i="10"/>
  <c r="J17" i="10"/>
  <c r="E25" i="10"/>
  <c r="O25" i="10"/>
  <c r="E33" i="10"/>
  <c r="J33" i="10"/>
  <c r="O33" i="10"/>
  <c r="E9" i="10"/>
  <c r="G18" i="10"/>
  <c r="Q15" i="10"/>
  <c r="G15" i="10"/>
  <c r="O23" i="10"/>
  <c r="L7" i="10"/>
  <c r="E23" i="10"/>
  <c r="J31" i="10"/>
  <c r="J25" i="10"/>
  <c r="O9" i="10"/>
  <c r="Q26" i="10"/>
  <c r="Q18" i="10"/>
  <c r="G7" i="10"/>
  <c r="O7" i="10"/>
  <c r="J15" i="10"/>
  <c r="J23" i="10"/>
  <c r="G31" i="10"/>
  <c r="L31" i="10"/>
  <c r="L23" i="10"/>
  <c r="O31" i="10"/>
  <c r="Q31" i="10"/>
  <c r="Q7" i="10"/>
  <c r="N16" i="3" l="1"/>
  <c r="N20" i="3"/>
  <c r="L61" i="1"/>
  <c r="L37" i="1"/>
  <c r="AL13" i="14"/>
  <c r="AA13" i="14"/>
  <c r="I37" i="15"/>
  <c r="L61" i="15"/>
  <c r="L37" i="15"/>
  <c r="AM13" i="14"/>
  <c r="I61" i="1"/>
  <c r="Z13" i="14"/>
  <c r="I37" i="1"/>
  <c r="J61" i="15"/>
  <c r="J37" i="15"/>
  <c r="AE13" i="14"/>
  <c r="K61" i="1"/>
  <c r="AH13" i="14"/>
  <c r="K37" i="1"/>
  <c r="H61" i="15"/>
  <c r="W13" i="14"/>
  <c r="H37" i="15"/>
  <c r="J61" i="1"/>
  <c r="J37" i="1"/>
  <c r="AD13" i="14"/>
  <c r="H52" i="1"/>
  <c r="L52" i="1"/>
  <c r="K61" i="15"/>
  <c r="AI13" i="14"/>
  <c r="K37" i="15"/>
  <c r="C119" i="8"/>
  <c r="W135" i="8"/>
  <c r="C144" i="8"/>
  <c r="C226" i="8"/>
  <c r="C227" i="8"/>
  <c r="D225" i="8"/>
  <c r="B225" i="8" s="1"/>
  <c r="E225" i="8" s="1"/>
  <c r="D227" i="8"/>
  <c r="B227" i="8" s="1"/>
  <c r="E227" i="8" s="1"/>
  <c r="C165" i="8"/>
  <c r="C168" i="8"/>
  <c r="C82" i="8"/>
  <c r="C83" i="8"/>
  <c r="C84" i="8"/>
  <c r="W87" i="8"/>
  <c r="C96" i="8"/>
  <c r="C153" i="8"/>
  <c r="C156" i="8"/>
  <c r="C224" i="8"/>
  <c r="C262" i="8"/>
  <c r="C186" i="8"/>
  <c r="C191" i="8"/>
  <c r="C237" i="8"/>
  <c r="C239" i="8"/>
  <c r="D235" i="8"/>
  <c r="B235" i="8" s="1"/>
  <c r="E235" i="8" s="1"/>
  <c r="D239" i="8"/>
  <c r="B239" i="8" s="1"/>
  <c r="E239" i="8" s="1"/>
  <c r="C115" i="8"/>
  <c r="C120" i="8"/>
  <c r="C259" i="8"/>
  <c r="W123" i="8"/>
  <c r="C132" i="8"/>
  <c r="C200" i="8"/>
  <c r="C203" i="8"/>
  <c r="C250" i="8"/>
  <c r="C251" i="8"/>
  <c r="D201" i="8"/>
  <c r="D203" i="8"/>
  <c r="B203" i="8" s="1"/>
  <c r="E203" i="8" s="1"/>
  <c r="D250" i="8"/>
  <c r="B250" i="8" s="1"/>
  <c r="E250" i="8" s="1"/>
  <c r="D251" i="8"/>
  <c r="B251" i="8" s="1"/>
  <c r="E251" i="8" s="1"/>
  <c r="D190" i="8"/>
  <c r="B190" i="8" s="1"/>
  <c r="E190" i="8" s="1"/>
  <c r="D191" i="8"/>
  <c r="B191" i="8" s="1"/>
  <c r="E191" i="8" s="1"/>
  <c r="C154" i="8"/>
  <c r="C140" i="8"/>
  <c r="C260" i="8"/>
  <c r="W99" i="8"/>
  <c r="C108" i="8"/>
  <c r="C211" i="8"/>
  <c r="C215" i="8"/>
  <c r="D211" i="8"/>
  <c r="D215" i="8"/>
  <c r="B215" i="8" s="1"/>
  <c r="E215" i="8" s="1"/>
  <c r="D210" i="8"/>
  <c r="B210" i="8" s="1"/>
  <c r="E210" i="8" s="1"/>
  <c r="D259" i="8"/>
  <c r="D263" i="8"/>
  <c r="B263" i="8" s="1"/>
  <c r="C273" i="8"/>
  <c r="C275" i="8"/>
  <c r="D273" i="8"/>
  <c r="B273" i="8" s="1"/>
  <c r="E273" i="8" s="1"/>
  <c r="D275" i="8"/>
  <c r="B275" i="8" s="1"/>
  <c r="E275" i="8" s="1"/>
  <c r="C152" i="8"/>
  <c r="W111" i="8"/>
  <c r="C236" i="8"/>
  <c r="C163" i="8"/>
  <c r="C131" i="8"/>
  <c r="W147" i="8"/>
  <c r="C81" i="8"/>
  <c r="C103" i="8"/>
  <c r="C127" i="8"/>
  <c r="C202" i="8"/>
  <c r="C274" i="8"/>
  <c r="D236" i="8"/>
  <c r="B236" i="8" s="1"/>
  <c r="E236" i="8" s="1"/>
  <c r="W75" i="8"/>
  <c r="B149" i="8"/>
  <c r="AD173" i="8"/>
  <c r="D188" i="8"/>
  <c r="B188" i="8" s="1"/>
  <c r="E188" i="8" s="1"/>
  <c r="C190" i="8"/>
  <c r="C187" i="8"/>
  <c r="F10" i="8"/>
  <c r="F7" i="8"/>
  <c r="F9" i="8"/>
  <c r="F12" i="8"/>
  <c r="F6" i="8"/>
  <c r="F11" i="8"/>
  <c r="E6" i="8"/>
  <c r="E11" i="8"/>
  <c r="E7" i="8"/>
  <c r="E8" i="8"/>
  <c r="E9" i="8"/>
  <c r="E10" i="8"/>
  <c r="C106" i="8"/>
  <c r="C212" i="8"/>
  <c r="C238" i="8"/>
  <c r="C210" i="8"/>
  <c r="C80" i="8"/>
  <c r="C104" i="8"/>
  <c r="C79" i="8"/>
  <c r="B244" i="8"/>
  <c r="B259" i="8"/>
  <c r="E259" i="8" s="1"/>
  <c r="C214" i="8"/>
  <c r="C249" i="8"/>
  <c r="C166" i="8"/>
  <c r="B77" i="8"/>
  <c r="B211" i="8"/>
  <c r="E211" i="8" s="1"/>
  <c r="C167" i="8"/>
  <c r="D187" i="8"/>
  <c r="B187" i="8" s="1"/>
  <c r="E187" i="8" s="1"/>
  <c r="B101" i="8"/>
  <c r="D106" i="8" s="1"/>
  <c r="B106" i="8" s="1"/>
  <c r="W106" i="8" s="1"/>
  <c r="D212" i="8"/>
  <c r="B212" i="8" s="1"/>
  <c r="E212" i="8" s="1"/>
  <c r="D260" i="8"/>
  <c r="B260" i="8" s="1"/>
  <c r="E260" i="8" s="1"/>
  <c r="B196" i="8"/>
  <c r="C164" i="8"/>
  <c r="W159" i="8"/>
  <c r="D189" i="8"/>
  <c r="B189" i="8" s="1"/>
  <c r="E189" i="8" s="1"/>
  <c r="D186" i="8"/>
  <c r="B186" i="8" s="1"/>
  <c r="E186" i="8" s="1"/>
  <c r="C155" i="8"/>
  <c r="C151" i="8"/>
  <c r="C118" i="8"/>
  <c r="C128" i="8"/>
  <c r="B268" i="8"/>
  <c r="C188" i="8"/>
  <c r="C235" i="8"/>
  <c r="B184" i="8"/>
  <c r="C234" i="8"/>
  <c r="B89" i="8"/>
  <c r="C95" i="8"/>
  <c r="C116" i="8"/>
  <c r="B125" i="8"/>
  <c r="C130" i="8"/>
  <c r="C189" i="8"/>
  <c r="C93" i="8"/>
  <c r="C91" i="8"/>
  <c r="H35" i="1"/>
  <c r="H48" i="1" s="1"/>
  <c r="K35" i="1"/>
  <c r="K56" i="1" s="1"/>
  <c r="K57" i="1" s="1"/>
  <c r="H61" i="1"/>
  <c r="H37" i="1"/>
  <c r="V13" i="14"/>
  <c r="G33" i="15"/>
  <c r="S14" i="14" s="1"/>
  <c r="B90" i="1"/>
  <c r="F54" i="1"/>
  <c r="E54" i="1"/>
  <c r="H10" i="11"/>
  <c r="AN22" i="14"/>
  <c r="Z30" i="8"/>
  <c r="F8" i="8" s="1"/>
  <c r="F61" i="1"/>
  <c r="F37" i="1"/>
  <c r="E61" i="1"/>
  <c r="E37" i="1"/>
  <c r="D37" i="1"/>
  <c r="H11" i="11"/>
  <c r="D61" i="1"/>
  <c r="P32" i="15"/>
  <c r="C37" i="15"/>
  <c r="G61" i="15"/>
  <c r="G37" i="15"/>
  <c r="D61" i="15"/>
  <c r="D37" i="15"/>
  <c r="E61" i="15"/>
  <c r="E37" i="15"/>
  <c r="F61" i="15"/>
  <c r="F37" i="15"/>
  <c r="I35" i="15"/>
  <c r="I56" i="15" s="1"/>
  <c r="E35" i="15"/>
  <c r="E56" i="15" s="1"/>
  <c r="E57" i="15" s="1"/>
  <c r="L35" i="15"/>
  <c r="L48" i="15" s="1"/>
  <c r="H35" i="15"/>
  <c r="H56" i="15" s="1"/>
  <c r="D35" i="15"/>
  <c r="D56" i="15" s="1"/>
  <c r="D57" i="15" s="1"/>
  <c r="K35" i="15"/>
  <c r="K56" i="15" s="1"/>
  <c r="G35" i="15"/>
  <c r="G56" i="15" s="1"/>
  <c r="C35" i="15"/>
  <c r="C56" i="15" s="1"/>
  <c r="J35" i="15"/>
  <c r="J56" i="15" s="1"/>
  <c r="F35" i="15"/>
  <c r="F56" i="15" s="1"/>
  <c r="F57" i="15" s="1"/>
  <c r="AJ22" i="14"/>
  <c r="AF22" i="14"/>
  <c r="AB22" i="14"/>
  <c r="E24" i="15"/>
  <c r="E25" i="15" s="1"/>
  <c r="D24" i="1"/>
  <c r="D25" i="1" s="1"/>
  <c r="F24" i="15"/>
  <c r="E24" i="1"/>
  <c r="E25" i="1" s="1"/>
  <c r="G24" i="15"/>
  <c r="F24" i="1"/>
  <c r="F25" i="1" s="1"/>
  <c r="D24" i="15"/>
  <c r="D25" i="15" s="1"/>
  <c r="E33" i="15"/>
  <c r="K13" i="14" s="1"/>
  <c r="D33" i="15"/>
  <c r="G13" i="14" s="1"/>
  <c r="C33" i="15"/>
  <c r="C14" i="14" s="1"/>
  <c r="F33" i="15"/>
  <c r="O13" i="14" s="1"/>
  <c r="F33" i="1"/>
  <c r="N14" i="14" s="1"/>
  <c r="V22" i="14"/>
  <c r="X22" i="14" s="1"/>
  <c r="AJ14" i="14"/>
  <c r="K58" i="1"/>
  <c r="K59" i="1" s="1"/>
  <c r="D35" i="1"/>
  <c r="D56" i="1" s="1"/>
  <c r="D57" i="1" s="1"/>
  <c r="P25" i="3"/>
  <c r="P21" i="3"/>
  <c r="P17" i="3"/>
  <c r="P13" i="3"/>
  <c r="D7" i="14"/>
  <c r="H7" i="14"/>
  <c r="P7" i="14"/>
  <c r="P9" i="15"/>
  <c r="O9" i="15" s="1"/>
  <c r="P13" i="15"/>
  <c r="O13" i="15" s="1"/>
  <c r="N15" i="13" s="1"/>
  <c r="P17" i="15"/>
  <c r="O17" i="15" s="1"/>
  <c r="N19" i="13" s="1"/>
  <c r="P21" i="15"/>
  <c r="O21" i="15" s="1"/>
  <c r="N23" i="13" s="1"/>
  <c r="P12" i="15"/>
  <c r="O12" i="15" s="1"/>
  <c r="N14" i="13" s="1"/>
  <c r="P16" i="15"/>
  <c r="O16" i="15" s="1"/>
  <c r="N18" i="13" s="1"/>
  <c r="P20" i="15"/>
  <c r="O20" i="15" s="1"/>
  <c r="N22" i="13" s="1"/>
  <c r="M46" i="15"/>
  <c r="AQ7" i="14" s="1"/>
  <c r="P11" i="15"/>
  <c r="O11" i="15" s="1"/>
  <c r="N13" i="13" s="1"/>
  <c r="P15" i="15"/>
  <c r="O15" i="15" s="1"/>
  <c r="N17" i="13" s="1"/>
  <c r="P19" i="15"/>
  <c r="O19" i="15" s="1"/>
  <c r="N21" i="13" s="1"/>
  <c r="P23" i="15"/>
  <c r="O23" i="15" s="1"/>
  <c r="N25" i="13" s="1"/>
  <c r="P10" i="15"/>
  <c r="O10" i="15" s="1"/>
  <c r="P14" i="15"/>
  <c r="O14" i="15" s="1"/>
  <c r="N16" i="13" s="1"/>
  <c r="P18" i="15"/>
  <c r="O18" i="15" s="1"/>
  <c r="N20" i="13" s="1"/>
  <c r="P22" i="15"/>
  <c r="O22" i="15" s="1"/>
  <c r="N24" i="13" s="1"/>
  <c r="F25" i="15"/>
  <c r="G25" i="15"/>
  <c r="F35" i="1"/>
  <c r="F56" i="1" s="1"/>
  <c r="F55" i="1"/>
  <c r="P9" i="3"/>
  <c r="P5" i="15"/>
  <c r="O5" i="15" s="1"/>
  <c r="P4" i="15"/>
  <c r="O4" i="15" s="1"/>
  <c r="P8" i="15"/>
  <c r="O8" i="15" s="1"/>
  <c r="P7" i="15"/>
  <c r="O7" i="15" s="1"/>
  <c r="P6" i="15"/>
  <c r="O6" i="15" s="1"/>
  <c r="C24" i="15"/>
  <c r="C25" i="15" s="1"/>
  <c r="C24" i="1"/>
  <c r="C25" i="1" s="1"/>
  <c r="K48" i="1"/>
  <c r="H58" i="1"/>
  <c r="H59" i="1" s="1"/>
  <c r="C35" i="1"/>
  <c r="C56" i="1" s="1"/>
  <c r="B8" i="14" s="1"/>
  <c r="B9" i="14" s="1"/>
  <c r="P22" i="1"/>
  <c r="O22" i="1" s="1"/>
  <c r="N24" i="3" s="1"/>
  <c r="M50" i="1"/>
  <c r="H12" i="11"/>
  <c r="H17" i="11"/>
  <c r="H6" i="11"/>
  <c r="H21" i="11"/>
  <c r="H13" i="11"/>
  <c r="H9" i="11"/>
  <c r="H15" i="11"/>
  <c r="H8" i="11"/>
  <c r="H19" i="11"/>
  <c r="P20" i="1"/>
  <c r="O20" i="1" s="1"/>
  <c r="N22" i="3" s="1"/>
  <c r="H7" i="11"/>
  <c r="C61" i="1"/>
  <c r="H14" i="11"/>
  <c r="H4" i="11"/>
  <c r="M26" i="3"/>
  <c r="M28" i="3" s="1"/>
  <c r="F33" i="5"/>
  <c r="H2" i="11"/>
  <c r="F27" i="5"/>
  <c r="F28" i="5"/>
  <c r="F31" i="5"/>
  <c r="F29" i="5"/>
  <c r="F32" i="5"/>
  <c r="E15" i="10"/>
  <c r="O15" i="10"/>
  <c r="G16" i="10"/>
  <c r="Q16" i="10"/>
  <c r="G23" i="10"/>
  <c r="G26" i="10"/>
  <c r="L10" i="10"/>
  <c r="L34" i="10"/>
  <c r="Q24" i="10"/>
  <c r="E17" i="10"/>
  <c r="Q32" i="10"/>
  <c r="G34" i="10"/>
  <c r="G10" i="10"/>
  <c r="G10" i="11"/>
  <c r="B139" i="1"/>
  <c r="B114" i="1"/>
  <c r="B89" i="1"/>
  <c r="L15" i="10"/>
  <c r="E7" i="10"/>
  <c r="Q23" i="10"/>
  <c r="H3" i="11"/>
  <c r="C142" i="8"/>
  <c r="B113" i="8"/>
  <c r="B137" i="8"/>
  <c r="D144" i="8" s="1"/>
  <c r="B144" i="8" s="1"/>
  <c r="E144" i="8" s="1"/>
  <c r="G20" i="11"/>
  <c r="B149" i="1"/>
  <c r="B124" i="1"/>
  <c r="B99" i="1"/>
  <c r="G16" i="11"/>
  <c r="B145" i="1"/>
  <c r="B120" i="1"/>
  <c r="B95" i="1"/>
  <c r="G12" i="11"/>
  <c r="B141" i="1"/>
  <c r="B116" i="1"/>
  <c r="B91" i="1"/>
  <c r="C201" i="8"/>
  <c r="B201" i="8"/>
  <c r="E201" i="8" s="1"/>
  <c r="D272" i="8"/>
  <c r="B272" i="8" s="1"/>
  <c r="E272" i="8" s="1"/>
  <c r="D274" i="8"/>
  <c r="B274" i="8" s="1"/>
  <c r="E274" i="8" s="1"/>
  <c r="C270" i="8"/>
  <c r="C272" i="8"/>
  <c r="C271" i="8"/>
  <c r="D214" i="8"/>
  <c r="B214" i="8" s="1"/>
  <c r="E214" i="8" s="1"/>
  <c r="D213" i="8"/>
  <c r="B213" i="8" s="1"/>
  <c r="E213" i="8" s="1"/>
  <c r="B208" i="8"/>
  <c r="D234" i="8"/>
  <c r="B234" i="8" s="1"/>
  <c r="E234" i="8" s="1"/>
  <c r="D238" i="8"/>
  <c r="B238" i="8" s="1"/>
  <c r="E238" i="8" s="1"/>
  <c r="D237" i="8"/>
  <c r="B237" i="8" s="1"/>
  <c r="E237" i="8" s="1"/>
  <c r="B232" i="8"/>
  <c r="D258" i="8"/>
  <c r="B258" i="8" s="1"/>
  <c r="E258" i="8" s="1"/>
  <c r="D262" i="8"/>
  <c r="B262" i="8" s="1"/>
  <c r="E262" i="8" s="1"/>
  <c r="D261" i="8"/>
  <c r="B261" i="8" s="1"/>
  <c r="E261" i="8" s="1"/>
  <c r="B256" i="8"/>
  <c r="W90" i="8"/>
  <c r="B98" i="1"/>
  <c r="B119" i="1"/>
  <c r="B140" i="1"/>
  <c r="A49" i="14"/>
  <c r="E49" i="14" s="1"/>
  <c r="I49" i="14" s="1"/>
  <c r="M49" i="14" s="1"/>
  <c r="Q49" i="14" s="1"/>
  <c r="U49" i="14" s="1"/>
  <c r="Y49" i="14" s="1"/>
  <c r="AC49" i="14" s="1"/>
  <c r="AG49" i="14" s="1"/>
  <c r="AK49" i="14" s="1"/>
  <c r="AO49" i="14" s="1"/>
  <c r="K105" i="15"/>
  <c r="K130" i="15"/>
  <c r="K80" i="15"/>
  <c r="G105" i="15"/>
  <c r="G130" i="15"/>
  <c r="G80" i="15"/>
  <c r="G18" i="11"/>
  <c r="B147" i="1"/>
  <c r="B122" i="1"/>
  <c r="B97" i="1"/>
  <c r="C222" i="8"/>
  <c r="C223" i="8"/>
  <c r="H16" i="11"/>
  <c r="C143" i="8"/>
  <c r="W138" i="8"/>
  <c r="C139" i="8"/>
  <c r="B226" i="8"/>
  <c r="E226" i="8" s="1"/>
  <c r="C246" i="8"/>
  <c r="C248" i="8"/>
  <c r="C247" i="8"/>
  <c r="Z7" i="14"/>
  <c r="AB7" i="14" s="1"/>
  <c r="I55" i="1"/>
  <c r="I35" i="1"/>
  <c r="B94" i="1"/>
  <c r="B115" i="1"/>
  <c r="A45" i="14"/>
  <c r="E45" i="14" s="1"/>
  <c r="I45" i="14" s="1"/>
  <c r="M45" i="14" s="1"/>
  <c r="Q45" i="14" s="1"/>
  <c r="U45" i="14" s="1"/>
  <c r="Y45" i="14" s="1"/>
  <c r="AC45" i="14" s="1"/>
  <c r="AG45" i="14" s="1"/>
  <c r="AK45" i="14" s="1"/>
  <c r="AO45" i="14" s="1"/>
  <c r="G14" i="11"/>
  <c r="B143" i="1"/>
  <c r="B118" i="1"/>
  <c r="B93" i="1"/>
  <c r="W160" i="8"/>
  <c r="B161" i="8"/>
  <c r="D168" i="8" s="1"/>
  <c r="B168" i="8" s="1"/>
  <c r="E168" i="8" s="1"/>
  <c r="I61" i="15"/>
  <c r="A41" i="14"/>
  <c r="E41" i="14" s="1"/>
  <c r="I41" i="14" s="1"/>
  <c r="M41" i="14" s="1"/>
  <c r="Q41" i="14" s="1"/>
  <c r="U41" i="14" s="1"/>
  <c r="Y41" i="14" s="1"/>
  <c r="AC41" i="14" s="1"/>
  <c r="AG41" i="14" s="1"/>
  <c r="AK41" i="14" s="1"/>
  <c r="AO41" i="14" s="1"/>
  <c r="D198" i="8"/>
  <c r="B198" i="8" s="1"/>
  <c r="E198" i="8" s="1"/>
  <c r="D199" i="8"/>
  <c r="B199" i="8" s="1"/>
  <c r="E199" i="8" s="1"/>
  <c r="D200" i="8"/>
  <c r="B200" i="8" s="1"/>
  <c r="E200" i="8" s="1"/>
  <c r="D222" i="8"/>
  <c r="B222" i="8" s="1"/>
  <c r="E222" i="8" s="1"/>
  <c r="D223" i="8"/>
  <c r="B223" i="8" s="1"/>
  <c r="E223" i="8" s="1"/>
  <c r="D224" i="8"/>
  <c r="B224" i="8" s="1"/>
  <c r="E224" i="8" s="1"/>
  <c r="D246" i="8"/>
  <c r="B246" i="8" s="1"/>
  <c r="E246" i="8" s="1"/>
  <c r="D247" i="8"/>
  <c r="B247" i="8" s="1"/>
  <c r="E247" i="8" s="1"/>
  <c r="D248" i="8"/>
  <c r="B248" i="8" s="1"/>
  <c r="E248" i="8" s="1"/>
  <c r="D270" i="8"/>
  <c r="D271" i="8"/>
  <c r="B271" i="8" s="1"/>
  <c r="E271" i="8" s="1"/>
  <c r="H5" i="11"/>
  <c r="C141" i="8"/>
  <c r="G17" i="11"/>
  <c r="B146" i="1"/>
  <c r="B121" i="1"/>
  <c r="B96" i="1"/>
  <c r="G13" i="11"/>
  <c r="B142" i="1"/>
  <c r="B117" i="1"/>
  <c r="B92" i="1"/>
  <c r="G9" i="11"/>
  <c r="B138" i="1"/>
  <c r="B113" i="1"/>
  <c r="B88" i="1"/>
  <c r="C225" i="8"/>
  <c r="D202" i="8"/>
  <c r="B202" i="8" s="1"/>
  <c r="E202" i="8" s="1"/>
  <c r="B220" i="8"/>
  <c r="D249" i="8"/>
  <c r="B249" i="8" s="1"/>
  <c r="E249" i="8" s="1"/>
  <c r="B270" i="8"/>
  <c r="E270" i="8" s="1"/>
  <c r="C198" i="8"/>
  <c r="C199" i="8"/>
  <c r="L35" i="1"/>
  <c r="B123" i="1"/>
  <c r="B144" i="1"/>
  <c r="G55" i="1"/>
  <c r="A48" i="14"/>
  <c r="E48" i="14" s="1"/>
  <c r="I48" i="14" s="1"/>
  <c r="M48" i="14" s="1"/>
  <c r="Q48" i="14" s="1"/>
  <c r="U48" i="14" s="1"/>
  <c r="Y48" i="14" s="1"/>
  <c r="AC48" i="14" s="1"/>
  <c r="AG48" i="14" s="1"/>
  <c r="AK48" i="14" s="1"/>
  <c r="AO48" i="14" s="1"/>
  <c r="A44" i="14"/>
  <c r="E44" i="14" s="1"/>
  <c r="I44" i="14" s="1"/>
  <c r="M44" i="14" s="1"/>
  <c r="Q44" i="14" s="1"/>
  <c r="U44" i="14" s="1"/>
  <c r="Y44" i="14" s="1"/>
  <c r="AC44" i="14" s="1"/>
  <c r="AG44" i="14" s="1"/>
  <c r="AK44" i="14" s="1"/>
  <c r="AO44" i="14" s="1"/>
  <c r="A40" i="14"/>
  <c r="E40" i="14" s="1"/>
  <c r="I40" i="14" s="1"/>
  <c r="M40" i="14" s="1"/>
  <c r="Q40" i="14" s="1"/>
  <c r="U40" i="14" s="1"/>
  <c r="Y40" i="14" s="1"/>
  <c r="AC40" i="14" s="1"/>
  <c r="AG40" i="14" s="1"/>
  <c r="AK40" i="14" s="1"/>
  <c r="AO40" i="14" s="1"/>
  <c r="J105" i="15"/>
  <c r="J130" i="15"/>
  <c r="J80" i="15"/>
  <c r="F105" i="15"/>
  <c r="F130" i="15"/>
  <c r="F80" i="15"/>
  <c r="C94" i="8"/>
  <c r="C92" i="8"/>
  <c r="J35" i="1"/>
  <c r="J55" i="1"/>
  <c r="P23" i="3"/>
  <c r="P19" i="3"/>
  <c r="P15" i="3"/>
  <c r="P11" i="3"/>
  <c r="A51" i="14"/>
  <c r="E51" i="14" s="1"/>
  <c r="I51" i="14" s="1"/>
  <c r="M51" i="14" s="1"/>
  <c r="Q51" i="14" s="1"/>
  <c r="U51" i="14" s="1"/>
  <c r="Y51" i="14" s="1"/>
  <c r="AC51" i="14" s="1"/>
  <c r="AG51" i="14" s="1"/>
  <c r="AK51" i="14" s="1"/>
  <c r="AO51" i="14" s="1"/>
  <c r="A47" i="14"/>
  <c r="E47" i="14" s="1"/>
  <c r="I47" i="14" s="1"/>
  <c r="M47" i="14" s="1"/>
  <c r="Q47" i="14" s="1"/>
  <c r="U47" i="14" s="1"/>
  <c r="Y47" i="14" s="1"/>
  <c r="AC47" i="14" s="1"/>
  <c r="AG47" i="14" s="1"/>
  <c r="AK47" i="14" s="1"/>
  <c r="AO47" i="14" s="1"/>
  <c r="A43" i="14"/>
  <c r="E43" i="14" s="1"/>
  <c r="I43" i="14" s="1"/>
  <c r="M43" i="14" s="1"/>
  <c r="Q43" i="14" s="1"/>
  <c r="U43" i="14" s="1"/>
  <c r="Y43" i="14" s="1"/>
  <c r="AC43" i="14" s="1"/>
  <c r="AG43" i="14" s="1"/>
  <c r="AK43" i="14" s="1"/>
  <c r="AO43" i="14" s="1"/>
  <c r="C130" i="15"/>
  <c r="C80" i="15"/>
  <c r="C105" i="15"/>
  <c r="I130" i="15"/>
  <c r="I80" i="15"/>
  <c r="I105" i="15"/>
  <c r="E130" i="15"/>
  <c r="E80" i="15"/>
  <c r="E105" i="15"/>
  <c r="P32" i="1"/>
  <c r="I52" i="1"/>
  <c r="G35" i="1"/>
  <c r="A50" i="14"/>
  <c r="E50" i="14" s="1"/>
  <c r="I50" i="14" s="1"/>
  <c r="M50" i="14" s="1"/>
  <c r="Q50" i="14" s="1"/>
  <c r="U50" i="14" s="1"/>
  <c r="Y50" i="14" s="1"/>
  <c r="AC50" i="14" s="1"/>
  <c r="AG50" i="14" s="1"/>
  <c r="AK50" i="14" s="1"/>
  <c r="AO50" i="14" s="1"/>
  <c r="A46" i="14"/>
  <c r="E46" i="14" s="1"/>
  <c r="I46" i="14" s="1"/>
  <c r="M46" i="14" s="1"/>
  <c r="Q46" i="14" s="1"/>
  <c r="U46" i="14" s="1"/>
  <c r="Y46" i="14" s="1"/>
  <c r="AC46" i="14" s="1"/>
  <c r="AG46" i="14" s="1"/>
  <c r="AK46" i="14" s="1"/>
  <c r="AO46" i="14" s="1"/>
  <c r="A42" i="14"/>
  <c r="E42" i="14" s="1"/>
  <c r="I42" i="14" s="1"/>
  <c r="M42" i="14" s="1"/>
  <c r="Q42" i="14" s="1"/>
  <c r="U42" i="14" s="1"/>
  <c r="Y42" i="14" s="1"/>
  <c r="AC42" i="14" s="1"/>
  <c r="AG42" i="14" s="1"/>
  <c r="AK42" i="14" s="1"/>
  <c r="AO42" i="14" s="1"/>
  <c r="L130" i="15"/>
  <c r="L80" i="15"/>
  <c r="L105" i="15"/>
  <c r="H130" i="15"/>
  <c r="H80" i="15"/>
  <c r="H105" i="15"/>
  <c r="D130" i="15"/>
  <c r="D80" i="15"/>
  <c r="D105" i="15"/>
  <c r="B81" i="1"/>
  <c r="B86" i="1"/>
  <c r="B84" i="1"/>
  <c r="B82" i="1"/>
  <c r="B112" i="1"/>
  <c r="B110" i="1"/>
  <c r="B108" i="1"/>
  <c r="B131" i="1"/>
  <c r="B136" i="1"/>
  <c r="B134" i="1"/>
  <c r="B132" i="1"/>
  <c r="A39" i="14"/>
  <c r="E39" i="14" s="1"/>
  <c r="I39" i="14" s="1"/>
  <c r="M39" i="14" s="1"/>
  <c r="Q39" i="14" s="1"/>
  <c r="U39" i="14" s="1"/>
  <c r="Y39" i="14" s="1"/>
  <c r="AC39" i="14" s="1"/>
  <c r="AG39" i="14" s="1"/>
  <c r="AK39" i="14" s="1"/>
  <c r="AO39" i="14" s="1"/>
  <c r="A37" i="14"/>
  <c r="E37" i="14" s="1"/>
  <c r="I37" i="14" s="1"/>
  <c r="M37" i="14" s="1"/>
  <c r="Q37" i="14" s="1"/>
  <c r="U37" i="14" s="1"/>
  <c r="Y37" i="14" s="1"/>
  <c r="AC37" i="14" s="1"/>
  <c r="AG37" i="14" s="1"/>
  <c r="AK37" i="14" s="1"/>
  <c r="AO37" i="14" s="1"/>
  <c r="A35" i="14"/>
  <c r="E35" i="14" s="1"/>
  <c r="I35" i="14" s="1"/>
  <c r="M35" i="14" s="1"/>
  <c r="Q35" i="14" s="1"/>
  <c r="U35" i="14" s="1"/>
  <c r="Y35" i="14" s="1"/>
  <c r="AC35" i="14" s="1"/>
  <c r="AG35" i="14" s="1"/>
  <c r="AK35" i="14" s="1"/>
  <c r="AO35" i="14" s="1"/>
  <c r="B87" i="1"/>
  <c r="B85" i="1"/>
  <c r="B83" i="1"/>
  <c r="B106" i="1"/>
  <c r="B111" i="1"/>
  <c r="B109" i="1"/>
  <c r="B107" i="1"/>
  <c r="B137" i="1"/>
  <c r="B135" i="1"/>
  <c r="B133" i="1"/>
  <c r="A33" i="14"/>
  <c r="E33" i="14" s="1"/>
  <c r="I33" i="14" s="1"/>
  <c r="M33" i="14" s="1"/>
  <c r="Q33" i="14" s="1"/>
  <c r="U33" i="14" s="1"/>
  <c r="Y33" i="14" s="1"/>
  <c r="AC33" i="14" s="1"/>
  <c r="AG33" i="14" s="1"/>
  <c r="AK33" i="14" s="1"/>
  <c r="AO33" i="14" s="1"/>
  <c r="A38" i="14"/>
  <c r="E38" i="14" s="1"/>
  <c r="I38" i="14" s="1"/>
  <c r="M38" i="14" s="1"/>
  <c r="Q38" i="14" s="1"/>
  <c r="U38" i="14" s="1"/>
  <c r="Y38" i="14" s="1"/>
  <c r="AC38" i="14" s="1"/>
  <c r="AG38" i="14" s="1"/>
  <c r="AK38" i="14" s="1"/>
  <c r="AO38" i="14" s="1"/>
  <c r="A36" i="14"/>
  <c r="E36" i="14" s="1"/>
  <c r="I36" i="14" s="1"/>
  <c r="M36" i="14" s="1"/>
  <c r="Q36" i="14" s="1"/>
  <c r="U36" i="14" s="1"/>
  <c r="Y36" i="14" s="1"/>
  <c r="AC36" i="14" s="1"/>
  <c r="AG36" i="14" s="1"/>
  <c r="AK36" i="14" s="1"/>
  <c r="AO36" i="14" s="1"/>
  <c r="A34" i="14"/>
  <c r="E34" i="14" s="1"/>
  <c r="I34" i="14" s="1"/>
  <c r="M34" i="14" s="1"/>
  <c r="Q34" i="14" s="1"/>
  <c r="U34" i="14" s="1"/>
  <c r="Y34" i="14" s="1"/>
  <c r="AC34" i="14" s="1"/>
  <c r="AG34" i="14" s="1"/>
  <c r="AK34" i="14" s="1"/>
  <c r="AO34" i="14" s="1"/>
  <c r="D55" i="1"/>
  <c r="J7" i="14"/>
  <c r="L7" i="14" s="1"/>
  <c r="E35" i="1"/>
  <c r="E56" i="1" s="1"/>
  <c r="E57" i="1" s="1"/>
  <c r="C55" i="1"/>
  <c r="AJ13" i="14"/>
  <c r="C61" i="15"/>
  <c r="O11" i="13"/>
  <c r="O12" i="13"/>
  <c r="O13" i="13"/>
  <c r="O14" i="13"/>
  <c r="O15" i="13"/>
  <c r="O16" i="13"/>
  <c r="O17" i="13"/>
  <c r="O18" i="13"/>
  <c r="O19" i="13"/>
  <c r="O20" i="13"/>
  <c r="O21" i="13"/>
  <c r="O22" i="13"/>
  <c r="O23" i="13"/>
  <c r="O24" i="13"/>
  <c r="O25" i="13"/>
  <c r="P9" i="13"/>
  <c r="P10" i="13"/>
  <c r="P11" i="13"/>
  <c r="P13" i="13"/>
  <c r="P14" i="13"/>
  <c r="P15" i="13"/>
  <c r="P16" i="13"/>
  <c r="P17" i="13"/>
  <c r="P18" i="13"/>
  <c r="P19" i="13"/>
  <c r="P20" i="13"/>
  <c r="P21" i="13"/>
  <c r="P22" i="13"/>
  <c r="P23" i="13"/>
  <c r="P24" i="13"/>
  <c r="P25" i="13"/>
  <c r="Q8" i="13"/>
  <c r="Q10" i="13"/>
  <c r="Q12" i="13"/>
  <c r="Q13" i="13"/>
  <c r="Q14" i="13"/>
  <c r="Q15" i="13"/>
  <c r="Q16" i="13"/>
  <c r="Q17" i="13"/>
  <c r="Q18" i="13"/>
  <c r="Q19" i="13"/>
  <c r="Q20" i="13"/>
  <c r="Q21" i="13"/>
  <c r="Q22" i="13"/>
  <c r="Q23" i="13"/>
  <c r="Q24" i="13"/>
  <c r="Q25" i="13"/>
  <c r="J7" i="10"/>
  <c r="P24" i="3"/>
  <c r="P22" i="3"/>
  <c r="P20" i="3"/>
  <c r="P18" i="3"/>
  <c r="P16" i="3"/>
  <c r="P14" i="3"/>
  <c r="P10" i="3"/>
  <c r="O25" i="3"/>
  <c r="O24" i="3"/>
  <c r="O23" i="3"/>
  <c r="O22" i="3"/>
  <c r="O21" i="3"/>
  <c r="O20" i="3"/>
  <c r="O19" i="3"/>
  <c r="O18" i="3"/>
  <c r="O17" i="3"/>
  <c r="O16" i="3"/>
  <c r="O15" i="3"/>
  <c r="O14" i="3"/>
  <c r="O13" i="3"/>
  <c r="O12" i="3"/>
  <c r="O11" i="3"/>
  <c r="O9" i="3"/>
  <c r="P12" i="3"/>
  <c r="Q25" i="3"/>
  <c r="Q24" i="3"/>
  <c r="Q23" i="3"/>
  <c r="Q22" i="3"/>
  <c r="Q21" i="3"/>
  <c r="Q20" i="3"/>
  <c r="Q19" i="3"/>
  <c r="Q18" i="3"/>
  <c r="Q17" i="3"/>
  <c r="Q16" i="3"/>
  <c r="Q15" i="3"/>
  <c r="Q14" i="3"/>
  <c r="Q13" i="3"/>
  <c r="Q12" i="3"/>
  <c r="Q11" i="3"/>
  <c r="Q10" i="3"/>
  <c r="Q8" i="3"/>
  <c r="H54" i="1"/>
  <c r="V15" i="14"/>
  <c r="J54" i="1"/>
  <c r="AD15" i="14"/>
  <c r="L54" i="1"/>
  <c r="AL15" i="14"/>
  <c r="H54" i="15"/>
  <c r="W15" i="14"/>
  <c r="J54" i="15"/>
  <c r="AE15" i="14"/>
  <c r="L54" i="15"/>
  <c r="AM15" i="14"/>
  <c r="G54" i="1"/>
  <c r="R15" i="14"/>
  <c r="I54" i="1"/>
  <c r="Z15" i="14"/>
  <c r="K54" i="1"/>
  <c r="AH15" i="14"/>
  <c r="I54" i="15"/>
  <c r="AA15" i="14"/>
  <c r="K54" i="15"/>
  <c r="AI15" i="14"/>
  <c r="AN16" i="14"/>
  <c r="AN17" i="14"/>
  <c r="AN18" i="14" s="1"/>
  <c r="AN27" i="14" s="1"/>
  <c r="AJ16" i="14"/>
  <c r="AJ17" i="14"/>
  <c r="AJ18" i="14" s="1"/>
  <c r="AJ27" i="14" s="1"/>
  <c r="AF16" i="14"/>
  <c r="AF17" i="14"/>
  <c r="AF18" i="14" s="1"/>
  <c r="AF27" i="14" s="1"/>
  <c r="AB16" i="14"/>
  <c r="AB17" i="14"/>
  <c r="AB18" i="14" s="1"/>
  <c r="AB27" i="14" s="1"/>
  <c r="X16" i="14"/>
  <c r="X17" i="14"/>
  <c r="X18" i="14" s="1"/>
  <c r="X27" i="14" s="1"/>
  <c r="C33" i="1"/>
  <c r="B14" i="14" s="1"/>
  <c r="E33" i="1"/>
  <c r="J14" i="14" s="1"/>
  <c r="D33" i="1"/>
  <c r="F14" i="14" s="1"/>
  <c r="M26" i="13"/>
  <c r="M28" i="13" s="1"/>
  <c r="E53" i="15"/>
  <c r="E54" i="15" s="1"/>
  <c r="J48" i="15"/>
  <c r="O15" i="14"/>
  <c r="J15" i="14"/>
  <c r="N15" i="14"/>
  <c r="D33" i="14"/>
  <c r="D37" i="14"/>
  <c r="D35" i="14"/>
  <c r="D36" i="14"/>
  <c r="D34" i="14"/>
  <c r="E31" i="10"/>
  <c r="B100" i="1"/>
  <c r="B125" i="1"/>
  <c r="B150" i="1"/>
  <c r="A52" i="14"/>
  <c r="E52" i="14" s="1"/>
  <c r="I52" i="14" s="1"/>
  <c r="M52" i="14" s="1"/>
  <c r="Q52" i="14" s="1"/>
  <c r="U52" i="14" s="1"/>
  <c r="Y52" i="14" s="1"/>
  <c r="AC52" i="14" s="1"/>
  <c r="AG52" i="14" s="1"/>
  <c r="AK52" i="14" s="1"/>
  <c r="AO52" i="14" s="1"/>
  <c r="B26" i="13"/>
  <c r="E6" i="13"/>
  <c r="F6" i="13"/>
  <c r="H6" i="13" s="1"/>
  <c r="F7" i="13"/>
  <c r="H7" i="13" s="1"/>
  <c r="J7" i="13" s="1"/>
  <c r="E7" i="13"/>
  <c r="F10" i="13"/>
  <c r="H10" i="13" s="1"/>
  <c r="E10" i="13"/>
  <c r="F12" i="13"/>
  <c r="H12" i="13" s="1"/>
  <c r="E12" i="13"/>
  <c r="F8" i="13"/>
  <c r="H8" i="13" s="1"/>
  <c r="E8" i="13"/>
  <c r="F9" i="13"/>
  <c r="H9" i="13" s="1"/>
  <c r="I9" i="13" s="1"/>
  <c r="E9" i="13"/>
  <c r="F11" i="13"/>
  <c r="H11" i="13" s="1"/>
  <c r="E11" i="13"/>
  <c r="H58" i="15"/>
  <c r="H59" i="15" s="1"/>
  <c r="J58" i="15"/>
  <c r="J59" i="15" s="1"/>
  <c r="L58" i="15"/>
  <c r="L59" i="15" s="1"/>
  <c r="B82" i="15"/>
  <c r="B84" i="15"/>
  <c r="B86" i="15"/>
  <c r="B88" i="15"/>
  <c r="B90" i="15"/>
  <c r="B92" i="15"/>
  <c r="B94" i="15"/>
  <c r="B96" i="15"/>
  <c r="B98" i="15"/>
  <c r="B100" i="15"/>
  <c r="B107" i="15"/>
  <c r="B109" i="15"/>
  <c r="B111" i="15"/>
  <c r="B113" i="15"/>
  <c r="B115" i="15"/>
  <c r="B117" i="15"/>
  <c r="B119" i="15"/>
  <c r="B121" i="15"/>
  <c r="B123" i="15"/>
  <c r="B125" i="15"/>
  <c r="I58" i="15"/>
  <c r="I59" i="15" s="1"/>
  <c r="K58" i="15"/>
  <c r="K59" i="15" s="1"/>
  <c r="B81" i="15"/>
  <c r="B83" i="15"/>
  <c r="B85" i="15"/>
  <c r="B87" i="15"/>
  <c r="B89" i="15"/>
  <c r="B91" i="15"/>
  <c r="B93" i="15"/>
  <c r="B95" i="15"/>
  <c r="B97" i="15"/>
  <c r="B99" i="15"/>
  <c r="B106" i="15"/>
  <c r="B108" i="15"/>
  <c r="B110" i="15"/>
  <c r="B112" i="15"/>
  <c r="B114" i="15"/>
  <c r="B116" i="15"/>
  <c r="B118" i="15"/>
  <c r="B120" i="15"/>
  <c r="B122" i="15"/>
  <c r="B124" i="15"/>
  <c r="E12" i="3"/>
  <c r="F12" i="3"/>
  <c r="E10" i="3"/>
  <c r="F10" i="3"/>
  <c r="F8" i="3"/>
  <c r="E8" i="3"/>
  <c r="N13" i="3"/>
  <c r="N17" i="3"/>
  <c r="N21" i="3"/>
  <c r="N14" i="3"/>
  <c r="N15" i="3"/>
  <c r="N18" i="3"/>
  <c r="N19" i="3"/>
  <c r="N23" i="3"/>
  <c r="N25" i="3"/>
  <c r="A31" i="10"/>
  <c r="A15" i="10"/>
  <c r="A23" i="10"/>
  <c r="F6" i="3"/>
  <c r="E6" i="3"/>
  <c r="A30" i="10"/>
  <c r="A14" i="10"/>
  <c r="A22" i="10"/>
  <c r="E11" i="3"/>
  <c r="F11" i="3"/>
  <c r="E7" i="3"/>
  <c r="F7" i="3"/>
  <c r="F9" i="3"/>
  <c r="E9" i="3"/>
  <c r="L56" i="15" l="1"/>
  <c r="AM8" i="14" s="1"/>
  <c r="AM9" i="14" s="1"/>
  <c r="AH21" i="14"/>
  <c r="AH23" i="14" s="1"/>
  <c r="AH24" i="14" s="1"/>
  <c r="AH8" i="14"/>
  <c r="AH9" i="14" s="1"/>
  <c r="H56" i="1"/>
  <c r="V21" i="14" s="1"/>
  <c r="V23" i="14" s="1"/>
  <c r="V24" i="14" s="1"/>
  <c r="D120" i="8"/>
  <c r="B120" i="8" s="1"/>
  <c r="E120" i="8" s="1"/>
  <c r="C263" i="8"/>
  <c r="E263" i="8"/>
  <c r="D132" i="8"/>
  <c r="B132" i="8" s="1"/>
  <c r="E132" i="8" s="1"/>
  <c r="D154" i="8"/>
  <c r="B154" i="8" s="1"/>
  <c r="D156" i="8"/>
  <c r="B156" i="8" s="1"/>
  <c r="E156" i="8" s="1"/>
  <c r="D105" i="8"/>
  <c r="B105" i="8" s="1"/>
  <c r="D108" i="8"/>
  <c r="B108" i="8" s="1"/>
  <c r="E108" i="8" s="1"/>
  <c r="D80" i="8"/>
  <c r="B80" i="8" s="1"/>
  <c r="E80" i="8" s="1"/>
  <c r="D84" i="8"/>
  <c r="B84" i="8" s="1"/>
  <c r="E84" i="8" s="1"/>
  <c r="W89" i="8"/>
  <c r="D96" i="8"/>
  <c r="B96" i="8" s="1"/>
  <c r="E96" i="8" s="1"/>
  <c r="D152" i="8"/>
  <c r="B152" i="8" s="1"/>
  <c r="W152" i="8" s="1"/>
  <c r="D131" i="8"/>
  <c r="B131" i="8" s="1"/>
  <c r="W131" i="8" s="1"/>
  <c r="D153" i="8"/>
  <c r="B153" i="8" s="1"/>
  <c r="E153" i="8" s="1"/>
  <c r="E106" i="8"/>
  <c r="D91" i="8"/>
  <c r="B91" i="8" s="1"/>
  <c r="E91" i="8" s="1"/>
  <c r="D79" i="8"/>
  <c r="B79" i="8" s="1"/>
  <c r="W79" i="8" s="1"/>
  <c r="W101" i="8"/>
  <c r="D151" i="8"/>
  <c r="B151" i="8" s="1"/>
  <c r="W151" i="8" s="1"/>
  <c r="W149" i="8"/>
  <c r="D93" i="8"/>
  <c r="B93" i="8" s="1"/>
  <c r="E93" i="8" s="1"/>
  <c r="D103" i="8"/>
  <c r="B103" i="8" s="1"/>
  <c r="W103" i="8" s="1"/>
  <c r="W77" i="8"/>
  <c r="D155" i="8"/>
  <c r="B155" i="8" s="1"/>
  <c r="E155" i="8" s="1"/>
  <c r="D94" i="8"/>
  <c r="B94" i="8" s="1"/>
  <c r="W94" i="8" s="1"/>
  <c r="D95" i="8"/>
  <c r="B95" i="8" s="1"/>
  <c r="E95" i="8" s="1"/>
  <c r="D83" i="8"/>
  <c r="B83" i="8" s="1"/>
  <c r="W80" i="8"/>
  <c r="D81" i="8"/>
  <c r="B81" i="8" s="1"/>
  <c r="D82" i="8"/>
  <c r="B82" i="8" s="1"/>
  <c r="E82" i="8" s="1"/>
  <c r="D107" i="8"/>
  <c r="B107" i="8" s="1"/>
  <c r="D104" i="8"/>
  <c r="B104" i="8" s="1"/>
  <c r="E131" i="8"/>
  <c r="D130" i="8"/>
  <c r="B130" i="8" s="1"/>
  <c r="D128" i="8"/>
  <c r="B128" i="8" s="1"/>
  <c r="W125" i="8"/>
  <c r="D129" i="8"/>
  <c r="B129" i="8" s="1"/>
  <c r="D127" i="8"/>
  <c r="B127" i="8" s="1"/>
  <c r="D92" i="8"/>
  <c r="B92" i="8" s="1"/>
  <c r="E92" i="8" s="1"/>
  <c r="K48" i="15"/>
  <c r="G48" i="15"/>
  <c r="Q9" i="13"/>
  <c r="M30" i="10"/>
  <c r="H22" i="10"/>
  <c r="C14" i="10"/>
  <c r="M22" i="10"/>
  <c r="C6" i="10"/>
  <c r="H30" i="10"/>
  <c r="C22" i="10"/>
  <c r="M6" i="10"/>
  <c r="C30" i="10"/>
  <c r="M14" i="10"/>
  <c r="H6" i="10"/>
  <c r="H14" i="10"/>
  <c r="S13" i="14"/>
  <c r="T13" i="14" s="1"/>
  <c r="C13" i="14"/>
  <c r="F21" i="14"/>
  <c r="F8" i="14"/>
  <c r="F9" i="14" s="1"/>
  <c r="N13" i="14"/>
  <c r="P13" i="14" s="1"/>
  <c r="M61" i="1"/>
  <c r="N61" i="1" s="1"/>
  <c r="J13" i="14"/>
  <c r="F13" i="14"/>
  <c r="B13" i="14"/>
  <c r="E36" i="1"/>
  <c r="E58" i="1" s="1"/>
  <c r="E59" i="1" s="1"/>
  <c r="I48" i="15"/>
  <c r="D51" i="15"/>
  <c r="D52" i="15" s="1"/>
  <c r="G14" i="14"/>
  <c r="G16" i="14" s="1"/>
  <c r="G17" i="14" s="1"/>
  <c r="C51" i="15"/>
  <c r="C52" i="15" s="1"/>
  <c r="E36" i="15"/>
  <c r="E58" i="15" s="1"/>
  <c r="E59" i="15" s="1"/>
  <c r="K14" i="14"/>
  <c r="K16" i="14" s="1"/>
  <c r="K17" i="14" s="1"/>
  <c r="F48" i="15"/>
  <c r="O14" i="14"/>
  <c r="O22" i="14" s="1"/>
  <c r="H48" i="15"/>
  <c r="E51" i="15"/>
  <c r="E52" i="15" s="1"/>
  <c r="G36" i="15"/>
  <c r="G58" i="15" s="1"/>
  <c r="G59" i="15" s="1"/>
  <c r="G34" i="15"/>
  <c r="G53" i="15" s="1"/>
  <c r="G51" i="15"/>
  <c r="G52" i="15" s="1"/>
  <c r="F36" i="1"/>
  <c r="F58" i="1" s="1"/>
  <c r="F59" i="1" s="1"/>
  <c r="F51" i="1"/>
  <c r="F52" i="1" s="1"/>
  <c r="D36" i="15"/>
  <c r="D58" i="15" s="1"/>
  <c r="D59" i="15" s="1"/>
  <c r="D34" i="15"/>
  <c r="D53" i="15" s="1"/>
  <c r="D36" i="1"/>
  <c r="D58" i="1" s="1"/>
  <c r="D59" i="1" s="1"/>
  <c r="D34" i="1"/>
  <c r="D53" i="1" s="1"/>
  <c r="F36" i="15"/>
  <c r="F58" i="15" s="1"/>
  <c r="F59" i="15" s="1"/>
  <c r="F51" i="15"/>
  <c r="F52" i="15" s="1"/>
  <c r="C51" i="1"/>
  <c r="C52" i="1" s="1"/>
  <c r="C36" i="1"/>
  <c r="C58" i="1" s="1"/>
  <c r="C36" i="15"/>
  <c r="C58" i="15" s="1"/>
  <c r="C59" i="15" s="1"/>
  <c r="C34" i="15"/>
  <c r="C53" i="15" s="1"/>
  <c r="C54" i="15" s="1"/>
  <c r="AN13" i="14"/>
  <c r="L10" i="13"/>
  <c r="L26" i="13" s="1"/>
  <c r="L28" i="13" s="1"/>
  <c r="K10" i="13"/>
  <c r="K26" i="13" s="1"/>
  <c r="K28" i="13" s="1"/>
  <c r="E48" i="15"/>
  <c r="F57" i="1"/>
  <c r="N21" i="14"/>
  <c r="N8" i="14"/>
  <c r="N9" i="14" s="1"/>
  <c r="F48" i="1"/>
  <c r="M61" i="15"/>
  <c r="N61" i="15" s="1"/>
  <c r="P6" i="13"/>
  <c r="J6" i="13"/>
  <c r="C57" i="1"/>
  <c r="B21" i="14"/>
  <c r="M27" i="3"/>
  <c r="M27" i="13"/>
  <c r="X13" i="14"/>
  <c r="AJ15" i="14"/>
  <c r="AN15" i="14"/>
  <c r="X15" i="14"/>
  <c r="AB13" i="14"/>
  <c r="AF13" i="14"/>
  <c r="L56" i="1"/>
  <c r="L48" i="1"/>
  <c r="L58" i="1"/>
  <c r="L59" i="1" s="1"/>
  <c r="E152" i="8"/>
  <c r="D117" i="8"/>
  <c r="B117" i="8" s="1"/>
  <c r="D119" i="8"/>
  <c r="B119" i="8" s="1"/>
  <c r="D116" i="8"/>
  <c r="B116" i="8" s="1"/>
  <c r="D118" i="8"/>
  <c r="B118" i="8" s="1"/>
  <c r="D115" i="8"/>
  <c r="B115" i="8" s="1"/>
  <c r="W113" i="8"/>
  <c r="J48" i="1"/>
  <c r="J58" i="1"/>
  <c r="J59" i="1" s="1"/>
  <c r="J56" i="1"/>
  <c r="W154" i="8"/>
  <c r="E154" i="8"/>
  <c r="D48" i="15"/>
  <c r="G56" i="1"/>
  <c r="G58" i="1"/>
  <c r="G59" i="1" s="1"/>
  <c r="G48" i="1"/>
  <c r="W161" i="8"/>
  <c r="D163" i="8"/>
  <c r="B163" i="8" s="1"/>
  <c r="D166" i="8"/>
  <c r="B166" i="8" s="1"/>
  <c r="D164" i="8"/>
  <c r="B164" i="8" s="1"/>
  <c r="D167" i="8"/>
  <c r="B167" i="8" s="1"/>
  <c r="E167" i="8" s="1"/>
  <c r="D165" i="8"/>
  <c r="B165" i="8" s="1"/>
  <c r="D139" i="8"/>
  <c r="B139" i="8" s="1"/>
  <c r="D140" i="8"/>
  <c r="B140" i="8" s="1"/>
  <c r="D142" i="8"/>
  <c r="B142" i="8" s="1"/>
  <c r="D141" i="8"/>
  <c r="B141" i="8" s="1"/>
  <c r="D143" i="8"/>
  <c r="B143" i="8" s="1"/>
  <c r="W137" i="8"/>
  <c r="AB15" i="14"/>
  <c r="AF15" i="14"/>
  <c r="I56" i="1"/>
  <c r="I48" i="1"/>
  <c r="I58" i="1"/>
  <c r="I59" i="1" s="1"/>
  <c r="J21" i="14"/>
  <c r="J8" i="14"/>
  <c r="J9" i="14" s="1"/>
  <c r="M55" i="1"/>
  <c r="C22" i="14"/>
  <c r="B22" i="14"/>
  <c r="C48" i="15"/>
  <c r="K57" i="15"/>
  <c r="AI21" i="14"/>
  <c r="AI8" i="14"/>
  <c r="I57" i="15"/>
  <c r="AA21" i="14"/>
  <c r="AA8" i="14"/>
  <c r="AA9" i="14" s="1"/>
  <c r="G57" i="15"/>
  <c r="S21" i="14"/>
  <c r="S8" i="14"/>
  <c r="S9" i="14" s="1"/>
  <c r="M56" i="15"/>
  <c r="L57" i="15"/>
  <c r="AM21" i="14"/>
  <c r="J57" i="15"/>
  <c r="AE21" i="14"/>
  <c r="AE8" i="14"/>
  <c r="AE9" i="14" s="1"/>
  <c r="H57" i="15"/>
  <c r="W21" i="14"/>
  <c r="W8" i="14"/>
  <c r="P15" i="14"/>
  <c r="C48" i="1"/>
  <c r="C34" i="1"/>
  <c r="C53" i="1" s="1"/>
  <c r="D51" i="1"/>
  <c r="D48" i="1"/>
  <c r="E51" i="1"/>
  <c r="E52" i="1" s="1"/>
  <c r="E48" i="1"/>
  <c r="I6" i="13"/>
  <c r="O6" i="13"/>
  <c r="Q6" i="13"/>
  <c r="N6" i="13"/>
  <c r="K15" i="14"/>
  <c r="L15" i="14" s="1"/>
  <c r="C57" i="15"/>
  <c r="C21" i="14"/>
  <c r="C8" i="14"/>
  <c r="K21" i="14"/>
  <c r="K8" i="14"/>
  <c r="K9" i="14" s="1"/>
  <c r="O21" i="14"/>
  <c r="O8" i="14"/>
  <c r="O9" i="14" s="1"/>
  <c r="G8" i="14"/>
  <c r="G21" i="14"/>
  <c r="N11" i="13"/>
  <c r="J11" i="13"/>
  <c r="Q11" i="13"/>
  <c r="N9" i="13"/>
  <c r="J9" i="13"/>
  <c r="O9" i="13"/>
  <c r="P8" i="13"/>
  <c r="N8" i="13"/>
  <c r="J8" i="13"/>
  <c r="O8" i="13"/>
  <c r="P12" i="13"/>
  <c r="N12" i="13"/>
  <c r="J12" i="13"/>
  <c r="N10" i="13"/>
  <c r="J10" i="13"/>
  <c r="O10" i="13"/>
  <c r="P7" i="13"/>
  <c r="N7" i="13"/>
  <c r="Q7" i="13"/>
  <c r="O7" i="13"/>
  <c r="I7" i="13"/>
  <c r="H26" i="13"/>
  <c r="H28" i="13" s="1"/>
  <c r="H12" i="3"/>
  <c r="C9" i="5"/>
  <c r="H9" i="5" s="1"/>
  <c r="H8" i="3"/>
  <c r="C5" i="5"/>
  <c r="H5" i="5" s="1"/>
  <c r="C7" i="5"/>
  <c r="H7" i="5" s="1"/>
  <c r="H10" i="3"/>
  <c r="O10" i="3" s="1"/>
  <c r="C6" i="5"/>
  <c r="H9" i="3"/>
  <c r="C4" i="5"/>
  <c r="H7" i="3"/>
  <c r="C8" i="5"/>
  <c r="H8" i="5" s="1"/>
  <c r="H11" i="3"/>
  <c r="C3" i="5"/>
  <c r="H6" i="3"/>
  <c r="M46" i="1" l="1"/>
  <c r="AP7" i="14" s="1"/>
  <c r="AR7" i="14" s="1"/>
  <c r="H21" i="14"/>
  <c r="H57" i="1"/>
  <c r="V8" i="14"/>
  <c r="V9" i="14" s="1"/>
  <c r="W95" i="8"/>
  <c r="W153" i="8"/>
  <c r="W91" i="8"/>
  <c r="E79" i="8"/>
  <c r="W93" i="8"/>
  <c r="W83" i="8"/>
  <c r="E83" i="8"/>
  <c r="E94" i="8"/>
  <c r="W92" i="8"/>
  <c r="W155" i="8"/>
  <c r="E151" i="8"/>
  <c r="W105" i="8"/>
  <c r="E105" i="8"/>
  <c r="E103" i="8"/>
  <c r="M173" i="8"/>
  <c r="E5" i="8" s="1"/>
  <c r="T173" i="8"/>
  <c r="E12" i="8" s="1"/>
  <c r="W82" i="8"/>
  <c r="W81" i="8"/>
  <c r="F5" i="8" s="1"/>
  <c r="E81" i="8"/>
  <c r="E104" i="8"/>
  <c r="W104" i="8"/>
  <c r="W107" i="8"/>
  <c r="E107" i="8"/>
  <c r="W127" i="8"/>
  <c r="E127" i="8"/>
  <c r="W130" i="8"/>
  <c r="E130" i="8"/>
  <c r="W128" i="8"/>
  <c r="E128" i="8"/>
  <c r="W129" i="8"/>
  <c r="E129" i="8"/>
  <c r="P21" i="14"/>
  <c r="H6" i="5"/>
  <c r="X6" i="5"/>
  <c r="F34" i="5" s="1"/>
  <c r="J6" i="5"/>
  <c r="O8" i="3"/>
  <c r="P8" i="3"/>
  <c r="L6" i="10"/>
  <c r="J6" i="10"/>
  <c r="O14" i="10"/>
  <c r="Q14" i="10"/>
  <c r="L30" i="10"/>
  <c r="J30" i="10"/>
  <c r="L22" i="10"/>
  <c r="J22" i="10"/>
  <c r="H3" i="5"/>
  <c r="R3" i="5"/>
  <c r="J3" i="5"/>
  <c r="F3" i="5"/>
  <c r="F23" i="5" s="1"/>
  <c r="H4" i="5"/>
  <c r="J4" i="5"/>
  <c r="R4" i="5"/>
  <c r="G30" i="10"/>
  <c r="E30" i="10"/>
  <c r="G6" i="10"/>
  <c r="E6" i="10"/>
  <c r="Q30" i="10"/>
  <c r="O30" i="10"/>
  <c r="G22" i="10"/>
  <c r="E22" i="10"/>
  <c r="E14" i="10"/>
  <c r="G14" i="10"/>
  <c r="J6" i="3"/>
  <c r="Q6" i="3"/>
  <c r="P6" i="3"/>
  <c r="O6" i="3"/>
  <c r="J7" i="3"/>
  <c r="Q7" i="3"/>
  <c r="P7" i="3"/>
  <c r="O7" i="3"/>
  <c r="I9" i="3"/>
  <c r="Q9" i="3"/>
  <c r="L14" i="10"/>
  <c r="J14" i="10"/>
  <c r="Q6" i="10"/>
  <c r="O6" i="10"/>
  <c r="O22" i="10"/>
  <c r="Q22" i="10"/>
  <c r="P9" i="14"/>
  <c r="P10" i="14" s="1"/>
  <c r="O16" i="14"/>
  <c r="O17" i="14" s="1"/>
  <c r="M52" i="15"/>
  <c r="O61" i="15" s="1"/>
  <c r="AQ13" i="14" s="1"/>
  <c r="M51" i="15"/>
  <c r="L27" i="13"/>
  <c r="K27" i="13"/>
  <c r="N23" i="14"/>
  <c r="N24" i="14" s="1"/>
  <c r="L13" i="14"/>
  <c r="D54" i="1"/>
  <c r="F15" i="14"/>
  <c r="T14" i="14"/>
  <c r="S16" i="14"/>
  <c r="S22" i="14"/>
  <c r="T22" i="14" s="1"/>
  <c r="N22" i="14"/>
  <c r="P22" i="14" s="1"/>
  <c r="N16" i="14"/>
  <c r="N17" i="14" s="1"/>
  <c r="G54" i="15"/>
  <c r="S15" i="14"/>
  <c r="T15" i="14" s="1"/>
  <c r="G15" i="14"/>
  <c r="D54" i="15"/>
  <c r="P14" i="14"/>
  <c r="L9" i="14"/>
  <c r="L10" i="14" s="1"/>
  <c r="H8" i="14"/>
  <c r="G9" i="14"/>
  <c r="H9" i="14" s="1"/>
  <c r="H10" i="14" s="1"/>
  <c r="W9" i="14"/>
  <c r="AJ8" i="14"/>
  <c r="AI9" i="14"/>
  <c r="AJ9" i="14" s="1"/>
  <c r="AJ10" i="14" s="1"/>
  <c r="AJ26" i="14" s="1"/>
  <c r="AJ28" i="14" s="1"/>
  <c r="D8" i="14"/>
  <c r="C9" i="14"/>
  <c r="P8" i="14"/>
  <c r="L10" i="3"/>
  <c r="L26" i="3" s="1"/>
  <c r="K10" i="3"/>
  <c r="K26" i="3" s="1"/>
  <c r="L8" i="14"/>
  <c r="I26" i="13"/>
  <c r="I28" i="13" s="1"/>
  <c r="Q26" i="13"/>
  <c r="Q28" i="13" s="1"/>
  <c r="G22" i="14"/>
  <c r="D14" i="14"/>
  <c r="M53" i="15"/>
  <c r="B16" i="14"/>
  <c r="B17" i="14" s="1"/>
  <c r="D13" i="14"/>
  <c r="C16" i="14"/>
  <c r="C17" i="14" s="1"/>
  <c r="M59" i="15"/>
  <c r="N59" i="15" s="1"/>
  <c r="M36" i="15" s="1"/>
  <c r="K22" i="14"/>
  <c r="M58" i="15"/>
  <c r="B23" i="14"/>
  <c r="B24" i="14" s="1"/>
  <c r="W165" i="8"/>
  <c r="E165" i="8"/>
  <c r="E142" i="8"/>
  <c r="W142" i="8"/>
  <c r="W167" i="8"/>
  <c r="E118" i="8"/>
  <c r="W118" i="8"/>
  <c r="AL8" i="14"/>
  <c r="AL21" i="14"/>
  <c r="AL23" i="14" s="1"/>
  <c r="AL24" i="14" s="1"/>
  <c r="L57" i="1"/>
  <c r="W163" i="8"/>
  <c r="E163" i="8"/>
  <c r="G57" i="1"/>
  <c r="M56" i="1"/>
  <c r="R8" i="14"/>
  <c r="R21" i="14"/>
  <c r="R23" i="14" s="1"/>
  <c r="R24" i="14" s="1"/>
  <c r="W115" i="8"/>
  <c r="E115" i="8"/>
  <c r="P26" i="13"/>
  <c r="P28" i="13" s="1"/>
  <c r="E140" i="8"/>
  <c r="W140" i="8"/>
  <c r="E164" i="8"/>
  <c r="W164" i="8"/>
  <c r="E116" i="8"/>
  <c r="W116" i="8"/>
  <c r="W141" i="8"/>
  <c r="E141" i="8"/>
  <c r="AD8" i="14"/>
  <c r="J57" i="1"/>
  <c r="AD21" i="14"/>
  <c r="AD23" i="14" s="1"/>
  <c r="AD24" i="14" s="1"/>
  <c r="W117" i="8"/>
  <c r="E117" i="8"/>
  <c r="Z21" i="14"/>
  <c r="Z23" i="14" s="1"/>
  <c r="Z24" i="14" s="1"/>
  <c r="I57" i="1"/>
  <c r="Z8" i="14"/>
  <c r="W143" i="8"/>
  <c r="E143" i="8"/>
  <c r="W139" i="8"/>
  <c r="E139" i="8"/>
  <c r="E166" i="8"/>
  <c r="W166" i="8"/>
  <c r="W119" i="8"/>
  <c r="E119" i="8"/>
  <c r="L21" i="14"/>
  <c r="D22" i="14"/>
  <c r="H13" i="14"/>
  <c r="M57" i="15"/>
  <c r="N57" i="15" s="1"/>
  <c r="AQ21" i="14" s="1"/>
  <c r="AE23" i="14"/>
  <c r="AA23" i="14"/>
  <c r="X21" i="14"/>
  <c r="W23" i="14"/>
  <c r="AM23" i="14"/>
  <c r="S23" i="14"/>
  <c r="AJ21" i="14"/>
  <c r="AI23" i="14"/>
  <c r="D52" i="1"/>
  <c r="M52" i="1" s="1"/>
  <c r="O61" i="1" s="1"/>
  <c r="AP13" i="14" s="1"/>
  <c r="M51" i="1"/>
  <c r="J22" i="14"/>
  <c r="J23" i="14"/>
  <c r="J24" i="14" s="1"/>
  <c r="J16" i="14"/>
  <c r="L14" i="14"/>
  <c r="B15" i="14"/>
  <c r="M53" i="1"/>
  <c r="C54" i="1"/>
  <c r="C15" i="14"/>
  <c r="F22" i="14"/>
  <c r="H14" i="14"/>
  <c r="F23" i="14"/>
  <c r="F24" i="14" s="1"/>
  <c r="F16" i="14"/>
  <c r="C59" i="1"/>
  <c r="M59" i="1" s="1"/>
  <c r="N59" i="1" s="1"/>
  <c r="M36" i="1" s="1"/>
  <c r="M58" i="1"/>
  <c r="K23" i="14"/>
  <c r="C23" i="14"/>
  <c r="D21" i="14"/>
  <c r="O23" i="14"/>
  <c r="O24" i="14" s="1"/>
  <c r="G23" i="14"/>
  <c r="H27" i="13"/>
  <c r="N26" i="13"/>
  <c r="N28" i="13" s="1"/>
  <c r="O26" i="13"/>
  <c r="O28" i="13" s="1"/>
  <c r="J26" i="13"/>
  <c r="J28" i="13" s="1"/>
  <c r="J12" i="3"/>
  <c r="N12" i="3"/>
  <c r="J10" i="3"/>
  <c r="N10" i="3"/>
  <c r="J8" i="3"/>
  <c r="N8" i="3"/>
  <c r="I6" i="3"/>
  <c r="H26" i="3"/>
  <c r="N6" i="3"/>
  <c r="J11" i="3"/>
  <c r="N11" i="3"/>
  <c r="I7" i="3"/>
  <c r="N7" i="3"/>
  <c r="J9" i="3"/>
  <c r="N9" i="3"/>
  <c r="N52" i="15" l="1"/>
  <c r="AQ14" i="14" s="1"/>
  <c r="X9" i="14"/>
  <c r="X10" i="14" s="1"/>
  <c r="X26" i="14" s="1"/>
  <c r="X28" i="14" s="1"/>
  <c r="X8" i="14"/>
  <c r="F30" i="5"/>
  <c r="Q26" i="3"/>
  <c r="O26" i="3"/>
  <c r="P26" i="3"/>
  <c r="P26" i="14"/>
  <c r="P24" i="14"/>
  <c r="N55" i="15"/>
  <c r="AQ15" i="14" s="1"/>
  <c r="AR13" i="14"/>
  <c r="M54" i="1"/>
  <c r="N54" i="1" s="1"/>
  <c r="M54" i="15"/>
  <c r="N54" i="15" s="1"/>
  <c r="P17" i="14"/>
  <c r="P18" i="14" s="1"/>
  <c r="P27" i="14" s="1"/>
  <c r="H15" i="14"/>
  <c r="S17" i="14"/>
  <c r="T17" i="14" s="1"/>
  <c r="T18" i="14" s="1"/>
  <c r="T27" i="14" s="1"/>
  <c r="T16" i="14"/>
  <c r="P16" i="14"/>
  <c r="AF8" i="14"/>
  <c r="AD9" i="14"/>
  <c r="AF9" i="14" s="1"/>
  <c r="AF10" i="14" s="1"/>
  <c r="AN8" i="14"/>
  <c r="AL9" i="14"/>
  <c r="AB8" i="14"/>
  <c r="Z9" i="14"/>
  <c r="AB9" i="14" s="1"/>
  <c r="AB10" i="14" s="1"/>
  <c r="T8" i="14"/>
  <c r="R9" i="14"/>
  <c r="T9" i="14" s="1"/>
  <c r="T10" i="14" s="1"/>
  <c r="L26" i="14"/>
  <c r="H26" i="14"/>
  <c r="D9" i="14"/>
  <c r="D10" i="14" s="1"/>
  <c r="D26" i="14" s="1"/>
  <c r="AQ9" i="14"/>
  <c r="Q27" i="13"/>
  <c r="K27" i="3"/>
  <c r="K28" i="3"/>
  <c r="L27" i="3"/>
  <c r="L28" i="3"/>
  <c r="T21" i="14"/>
  <c r="AN21" i="14"/>
  <c r="I27" i="13"/>
  <c r="AF21" i="14"/>
  <c r="M57" i="1"/>
  <c r="N57" i="1" s="1"/>
  <c r="M35" i="1" s="1"/>
  <c r="AB21" i="14"/>
  <c r="H22" i="14"/>
  <c r="L22" i="14"/>
  <c r="D17" i="14"/>
  <c r="D18" i="14" s="1"/>
  <c r="D27" i="14" s="1"/>
  <c r="D16" i="14"/>
  <c r="P27" i="13"/>
  <c r="AQ8" i="14"/>
  <c r="M35" i="15"/>
  <c r="AI24" i="14"/>
  <c r="AJ24" i="14" s="1"/>
  <c r="AJ23" i="14"/>
  <c r="T23" i="14"/>
  <c r="S24" i="14"/>
  <c r="T24" i="14" s="1"/>
  <c r="AM24" i="14"/>
  <c r="AN24" i="14" s="1"/>
  <c r="AN23" i="14"/>
  <c r="W24" i="14"/>
  <c r="X24" i="14" s="1"/>
  <c r="X23" i="14"/>
  <c r="AA24" i="14"/>
  <c r="AB24" i="14" s="1"/>
  <c r="AB23" i="14"/>
  <c r="AE24" i="14"/>
  <c r="AF24" i="14" s="1"/>
  <c r="AF23" i="14"/>
  <c r="P23" i="14"/>
  <c r="M33" i="15"/>
  <c r="D15" i="14"/>
  <c r="N55" i="1"/>
  <c r="M34" i="1" s="1"/>
  <c r="N52" i="1"/>
  <c r="M33" i="1" s="1"/>
  <c r="J17" i="14"/>
  <c r="L17" i="14" s="1"/>
  <c r="L18" i="14" s="1"/>
  <c r="L27" i="14" s="1"/>
  <c r="L16" i="14"/>
  <c r="F17" i="14"/>
  <c r="H17" i="14" s="1"/>
  <c r="H18" i="14" s="1"/>
  <c r="H27" i="14" s="1"/>
  <c r="H16" i="14"/>
  <c r="K24" i="14"/>
  <c r="L24" i="14" s="1"/>
  <c r="L23" i="14"/>
  <c r="G24" i="14"/>
  <c r="H24" i="14" s="1"/>
  <c r="H23" i="14"/>
  <c r="C24" i="14"/>
  <c r="D24" i="14" s="1"/>
  <c r="D23" i="14"/>
  <c r="B27" i="13"/>
  <c r="K29" i="13" s="1"/>
  <c r="O27" i="13"/>
  <c r="J27" i="13"/>
  <c r="N27" i="13"/>
  <c r="J26" i="3"/>
  <c r="N26" i="3"/>
  <c r="I26" i="3"/>
  <c r="H27" i="3"/>
  <c r="H28" i="3"/>
  <c r="L28" i="14" l="1"/>
  <c r="P27" i="3"/>
  <c r="P28" i="3"/>
  <c r="O28" i="3"/>
  <c r="O27" i="3"/>
  <c r="Q28" i="3"/>
  <c r="Q27" i="3"/>
  <c r="P28" i="14"/>
  <c r="M34" i="15"/>
  <c r="H28" i="14"/>
  <c r="AP9" i="14"/>
  <c r="AR9" i="14" s="1"/>
  <c r="AR10" i="14" s="1"/>
  <c r="AN9" i="14"/>
  <c r="AN10" i="14" s="1"/>
  <c r="AN26" i="14" s="1"/>
  <c r="AN28" i="14" s="1"/>
  <c r="T26" i="14"/>
  <c r="T28" i="14" s="1"/>
  <c r="AB26" i="14"/>
  <c r="AB28" i="14" s="1"/>
  <c r="AF26" i="14"/>
  <c r="AF28" i="14" s="1"/>
  <c r="D28" i="14"/>
  <c r="J29" i="13"/>
  <c r="Q29" i="13"/>
  <c r="N29" i="13"/>
  <c r="O29" i="13"/>
  <c r="B27" i="3"/>
  <c r="H29" i="3" s="1"/>
  <c r="J28" i="3"/>
  <c r="L29" i="13"/>
  <c r="AP8" i="14"/>
  <c r="AR8" i="14" s="1"/>
  <c r="AP21" i="14"/>
  <c r="AR21" i="14" s="1"/>
  <c r="M29" i="13"/>
  <c r="AP14" i="14"/>
  <c r="AR14" i="14" s="1"/>
  <c r="AP15" i="14"/>
  <c r="AR15" i="14" s="1"/>
  <c r="AQ23" i="14"/>
  <c r="AQ22" i="14"/>
  <c r="AQ16" i="14"/>
  <c r="P29" i="13"/>
  <c r="I29" i="13"/>
  <c r="H29" i="13"/>
  <c r="J27" i="3"/>
  <c r="I28" i="3"/>
  <c r="I27" i="3"/>
  <c r="N27" i="3"/>
  <c r="N28" i="3"/>
  <c r="AR26" i="14" l="1"/>
  <c r="O29" i="3"/>
  <c r="L29" i="3"/>
  <c r="M29" i="3"/>
  <c r="I29" i="3"/>
  <c r="Q29" i="3"/>
  <c r="P29" i="3"/>
  <c r="J29" i="3"/>
  <c r="K29" i="3"/>
  <c r="N29" i="3"/>
  <c r="AQ17" i="14"/>
  <c r="AQ24" i="14"/>
  <c r="AP22" i="14"/>
  <c r="AR22" i="14" s="1"/>
  <c r="AP23" i="14"/>
  <c r="AP24" i="14" s="1"/>
  <c r="AP16" i="14"/>
  <c r="AP17" i="14" s="1"/>
  <c r="AR24" i="14" l="1"/>
  <c r="AR17" i="14"/>
  <c r="AR18" i="14" s="1"/>
  <c r="AR27" i="14" s="1"/>
  <c r="AR28" i="14" s="1"/>
  <c r="AR23" i="14"/>
  <c r="AR16" i="14"/>
</calcChain>
</file>

<file path=xl/comments1.xml><?xml version="1.0" encoding="utf-8"?>
<comments xmlns="http://schemas.openxmlformats.org/spreadsheetml/2006/main">
  <authors>
    <author>Jon Rasmussen</author>
    <author>.</author>
  </authors>
  <commentList>
    <comment ref="E16" authorId="0" shapeId="0">
      <text>
        <r>
          <rPr>
            <b/>
            <sz val="9"/>
            <color indexed="81"/>
            <rFont val="Tahoma"/>
            <family val="2"/>
          </rPr>
          <t>Entering a surface area value will override the face width and silage height contributions to the inventory equation. Surface area measures can be found with various methods. One such method is using the SketchandCalc app available for iPads. The use of surface area will hopefully improve inventory accuracy.</t>
        </r>
      </text>
    </comment>
    <comment ref="G17" authorId="0" shapeId="0">
      <text>
        <r>
          <rPr>
            <b/>
            <sz val="9"/>
            <color indexed="81"/>
            <rFont val="Tahoma"/>
            <family val="2"/>
          </rPr>
          <t>Density is usually figured at 13-20 lb per cubic foot for corn silage and haylage and 32-45 lb per cubic foot for high moisture corn.</t>
        </r>
      </text>
    </comment>
    <comment ref="F28" authorId="0" shapeId="0">
      <text>
        <r>
          <rPr>
            <b/>
            <sz val="9"/>
            <color indexed="81"/>
            <rFont val="Tahoma"/>
            <family val="2"/>
          </rPr>
          <t>Entering a surface area value will override the top width, bottom width, and height contributions to the inventory equation. Surface area measures can be found with various methods. One such method is using the SketchandCalc app available for iPads. The use of surface area will hopefully improve inventory accuracy.</t>
        </r>
      </text>
    </comment>
    <comment ref="H29" authorId="0" shapeId="0">
      <text>
        <r>
          <rPr>
            <b/>
            <sz val="9"/>
            <color indexed="81"/>
            <rFont val="Tahoma"/>
            <family val="2"/>
          </rPr>
          <t>Density is usually figured at 13-20 lb per cubic foot for corn silage and haylage and 32-45 lb per cubic foot for high moisture corn.</t>
        </r>
      </text>
    </comment>
    <comment ref="E41" authorId="1" shapeId="0">
      <text>
        <r>
          <rPr>
            <sz val="8"/>
            <color indexed="81"/>
            <rFont val="Tahoma"/>
            <family val="2"/>
          </rPr>
          <t>Density of silage bags is usually figured at 13-14 lb per cubic foot for corn silage and haylage and 28-35 lb per cubic foot for high moisture corn.</t>
        </r>
      </text>
    </comment>
    <comment ref="A63" authorId="0" shapeId="0">
      <text>
        <r>
          <rPr>
            <b/>
            <sz val="9"/>
            <color indexed="81"/>
            <rFont val="Tahoma"/>
            <family val="2"/>
          </rPr>
          <t>The tallest height that will work in this spreadsheet is 120 feet for original and current height levels.</t>
        </r>
      </text>
    </comment>
    <comment ref="A170" authorId="0" shapeId="0">
      <text>
        <r>
          <rPr>
            <b/>
            <sz val="9"/>
            <color indexed="81"/>
            <rFont val="Tahoma"/>
            <family val="2"/>
          </rPr>
          <t>The tallest height that will work in this spreadsheet is 120 feet for original and current height levels.</t>
        </r>
      </text>
    </comment>
  </commentList>
</comments>
</file>

<file path=xl/comments2.xml><?xml version="1.0" encoding="utf-8"?>
<comments xmlns="http://schemas.openxmlformats.org/spreadsheetml/2006/main">
  <authors>
    <author>Jon Rasmussen</author>
  </authors>
  <commentList>
    <comment ref="O33" authorId="0" shapeId="0">
      <text>
        <r>
          <rPr>
            <b/>
            <sz val="8"/>
            <color indexed="81"/>
            <rFont val="Tahoma"/>
            <family val="2"/>
          </rPr>
          <t>Entering a Mailbox Price will override the component prices.</t>
        </r>
      </text>
    </comment>
  </commentList>
</comments>
</file>

<file path=xl/comments3.xml><?xml version="1.0" encoding="utf-8"?>
<comments xmlns="http://schemas.openxmlformats.org/spreadsheetml/2006/main">
  <authors>
    <author>.</author>
  </authors>
  <commentList>
    <comment ref="B27" authorId="0" shapeId="0">
      <text>
        <r>
          <rPr>
            <sz val="8"/>
            <color indexed="81"/>
            <rFont val="Tahoma"/>
            <family val="2"/>
          </rPr>
          <t>This total is calculated from the cow number and milk production figures from the 'Rations' sheet.</t>
        </r>
      </text>
    </comment>
  </commentList>
</comments>
</file>

<file path=xl/comments4.xml><?xml version="1.0" encoding="utf-8"?>
<comments xmlns="http://schemas.openxmlformats.org/spreadsheetml/2006/main">
  <authors>
    <author>randyg</author>
  </authors>
  <commentList>
    <comment ref="B2" authorId="0" shapeId="0">
      <text>
        <r>
          <rPr>
            <sz val="8"/>
            <color indexed="81"/>
            <rFont val="Tahoma"/>
            <family val="2"/>
          </rPr>
          <t>Shrink lost in fermentation/storage only - typically 5-15%</t>
        </r>
      </text>
    </comment>
  </commentList>
</comments>
</file>

<file path=xl/comments5.xml><?xml version="1.0" encoding="utf-8"?>
<comments xmlns="http://schemas.openxmlformats.org/spreadsheetml/2006/main">
  <authors>
    <author>Jon Rasmussen</author>
  </authors>
  <commentList>
    <comment ref="O33" authorId="0" shapeId="0">
      <text>
        <r>
          <rPr>
            <b/>
            <sz val="8"/>
            <color indexed="81"/>
            <rFont val="Tahoma"/>
            <family val="2"/>
          </rPr>
          <t>Entering a Mailbox Price will override the component prices.</t>
        </r>
      </text>
    </comment>
  </commentList>
</comments>
</file>

<file path=xl/comments6.xml><?xml version="1.0" encoding="utf-8"?>
<comments xmlns="http://schemas.openxmlformats.org/spreadsheetml/2006/main">
  <authors>
    <author>.</author>
  </authors>
  <commentList>
    <comment ref="B27" authorId="0" shapeId="0">
      <text>
        <r>
          <rPr>
            <sz val="8"/>
            <color indexed="81"/>
            <rFont val="Tahoma"/>
            <family val="2"/>
          </rPr>
          <t>This total is calculated from the cow number and milk production figures from the 'Rations' sheet.</t>
        </r>
      </text>
    </comment>
  </commentList>
</comments>
</file>

<file path=xl/sharedStrings.xml><?xml version="1.0" encoding="utf-8"?>
<sst xmlns="http://schemas.openxmlformats.org/spreadsheetml/2006/main" count="887" uniqueCount="265">
  <si>
    <t>Feed Name</t>
  </si>
  <si>
    <t>DM (%)</t>
  </si>
  <si>
    <t>Purchased?</t>
  </si>
  <si>
    <t>Purchased</t>
  </si>
  <si>
    <t>Forage?</t>
  </si>
  <si>
    <t>Forage</t>
  </si>
  <si>
    <t>Number of Animals:</t>
  </si>
  <si>
    <t>Dry Matter Intake:</t>
  </si>
  <si>
    <t>Dry Matter %:</t>
  </si>
  <si>
    <t>Days / Year on Ration:</t>
  </si>
  <si>
    <t>As-Fed Intake, lb:</t>
  </si>
  <si>
    <t>Unit of Measure</t>
  </si>
  <si>
    <t>lb/unit</t>
  </si>
  <si>
    <t>Total Annual Feed Cost</t>
  </si>
  <si>
    <t>Total, per cwt:</t>
  </si>
  <si>
    <t>Annual Total:</t>
  </si>
  <si>
    <t>Monthly Total:</t>
  </si>
  <si>
    <t>Annual Forage Cost</t>
  </si>
  <si>
    <t>Annual Non-Forage Cost</t>
  </si>
  <si>
    <t>Annual Purchased Feed Cost</t>
  </si>
  <si>
    <t>Annual Shrink Amount</t>
  </si>
  <si>
    <t>Average Milk Price:</t>
  </si>
  <si>
    <t>Total Milk Income:</t>
  </si>
  <si>
    <t>% of Milk Income:</t>
  </si>
  <si>
    <t>Shrink Value</t>
  </si>
  <si>
    <t>Annual Raised Feed Cost</t>
  </si>
  <si>
    <t>Acres Needed</t>
  </si>
  <si>
    <t>Total Acres:</t>
  </si>
  <si>
    <t>Days in Inventory</t>
  </si>
  <si>
    <t>Annual Purchased Forages</t>
  </si>
  <si>
    <t>Milk Yield / Day:</t>
  </si>
  <si>
    <t>Ration Cost, $ / cwt:</t>
  </si>
  <si>
    <t>Youngstock Feed Cost</t>
  </si>
  <si>
    <t>Annual Purchased Concentrates</t>
  </si>
  <si>
    <t>Vita Plus make no expressed or implied warranties or performance guarantees of any kind with respect to this program, rations, services, or products which are part of the program.</t>
  </si>
  <si>
    <t>The Vita Plus Inventory Projector will project annual feedstuff needs based on</t>
  </si>
  <si>
    <t>sheet, along with cost per cwt of milk for milking groups.</t>
  </si>
  <si>
    <t>Inventory      (DM tons)</t>
  </si>
  <si>
    <t>Inventory Date</t>
  </si>
  <si>
    <t>Inventory Ending Date</t>
  </si>
  <si>
    <t>Daily Total Tons</t>
  </si>
  <si>
    <t>Forage Inventory Calculator</t>
  </si>
  <si>
    <t>Bunker Silos</t>
  </si>
  <si>
    <t>Silo ID</t>
  </si>
  <si>
    <t>Face Width</t>
  </si>
  <si>
    <t>Silage Height</t>
  </si>
  <si>
    <t>Silage Length</t>
  </si>
  <si>
    <t>DM%</t>
  </si>
  <si>
    <t>Tons (DM)</t>
  </si>
  <si>
    <t>Tons (AF)</t>
  </si>
  <si>
    <t>Silage Piles</t>
  </si>
  <si>
    <t>Pile ID</t>
  </si>
  <si>
    <t>Top Width</t>
  </si>
  <si>
    <t>Bottom Width</t>
  </si>
  <si>
    <t>Max. Silage Height</t>
  </si>
  <si>
    <t>Pile Length</t>
  </si>
  <si>
    <t>Silage Bags</t>
  </si>
  <si>
    <t>Bag ID</t>
  </si>
  <si>
    <t>Bag Diameter</t>
  </si>
  <si>
    <t>Feed Type #1:</t>
  </si>
  <si>
    <t>Feed Type #2:</t>
  </si>
  <si>
    <t>Feed Type #3:</t>
  </si>
  <si>
    <t>Feed Type #4:</t>
  </si>
  <si>
    <t>Feed Type</t>
  </si>
  <si>
    <t>Feed Type #5:</t>
  </si>
  <si>
    <r>
      <t>DM lb/ft</t>
    </r>
    <r>
      <rPr>
        <b/>
        <vertAlign val="superscript"/>
        <sz val="10"/>
        <rFont val="Arial"/>
        <family val="2"/>
      </rPr>
      <t>3</t>
    </r>
  </si>
  <si>
    <t>Total Tons (DM)</t>
  </si>
  <si>
    <t>Total Tons (AF)</t>
  </si>
  <si>
    <t>Baled Hay</t>
  </si>
  <si>
    <t>Totals From Below</t>
  </si>
  <si>
    <t>Dry Matter Tons</t>
  </si>
  <si>
    <t>As-Fed Tons</t>
  </si>
  <si>
    <t>ID</t>
  </si>
  <si>
    <t># Bales</t>
  </si>
  <si>
    <t>lb/bale</t>
  </si>
  <si>
    <t>Farm Name:</t>
  </si>
  <si>
    <t>Inventory Date:</t>
  </si>
  <si>
    <t>Enter feedstuff data on the "Feeds" sheet, including the inventory amounts in</t>
  </si>
  <si>
    <t>Inventory days on hand are calculated on the right side of the sheet from</t>
  </si>
  <si>
    <t>$/AF unit</t>
  </si>
  <si>
    <t>$/ton DM</t>
  </si>
  <si>
    <t>Annual Usage (AF)</t>
  </si>
  <si>
    <t>Total Annual Needs (AF)</t>
  </si>
  <si>
    <t>Annual Amounts Needed (AF)</t>
  </si>
  <si>
    <t>As-Fed Yield / Acre</t>
  </si>
  <si>
    <t>Orig. Height:</t>
  </si>
  <si>
    <t>Current Height:</t>
  </si>
  <si>
    <t>Silo Diameter:</t>
  </si>
  <si>
    <t>1-20 Cubic Ft:</t>
  </si>
  <si>
    <t>21-40 Cubic Ft:</t>
  </si>
  <si>
    <t>41-60 Cubic Ft:</t>
  </si>
  <si>
    <t>61-80 Cubic Ft:</t>
  </si>
  <si>
    <t>Removed Height:</t>
  </si>
  <si>
    <t>Original Feet</t>
  </si>
  <si>
    <t>Remaining Feet</t>
  </si>
  <si>
    <t>81-100 Cubic Ft:</t>
  </si>
  <si>
    <t>lb</t>
  </si>
  <si>
    <t>Haylage/CS</t>
  </si>
  <si>
    <t>HM Ground Ear Corn</t>
  </si>
  <si>
    <t>HM Shelled Corn</t>
  </si>
  <si>
    <t>Silage Category</t>
  </si>
  <si>
    <t>Original Height</t>
  </si>
  <si>
    <t>Current Height</t>
  </si>
  <si>
    <t>Silo Diameter</t>
  </si>
  <si>
    <t>Silo #1</t>
  </si>
  <si>
    <t>Top-Unloading Upright Silos</t>
  </si>
  <si>
    <t>Silo #2</t>
  </si>
  <si>
    <t>Silo #3</t>
  </si>
  <si>
    <t>Silo #4</t>
  </si>
  <si>
    <t>Silo #5</t>
  </si>
  <si>
    <t>Silo #6</t>
  </si>
  <si>
    <t>Silo #7</t>
  </si>
  <si>
    <t>Silo #8</t>
  </si>
  <si>
    <t>Bottom-Unloading Upright Silos</t>
  </si>
  <si>
    <t>Use the "Inventory Calculator" sheet to calculate the tons of forages in any</t>
  </si>
  <si>
    <t>dry matter tons as calculated on the "Inventory Calculator" sheet.</t>
  </si>
  <si>
    <t>the rations entered.</t>
  </si>
  <si>
    <t>feed, ration and animal inputs. (ALL INPUT CELLS HAVE THIS TAN COLOR EXCEPT</t>
  </si>
  <si>
    <t>FOR THE "FEEDS" SHEET, WHERE ALL CELLS ARE INPUT CELLS)</t>
  </si>
  <si>
    <t>the information for each storage structure.</t>
  </si>
  <si>
    <t>Tons Treated</t>
  </si>
  <si>
    <t>Crop-N-Rich Options</t>
  </si>
  <si>
    <t>CNR 100</t>
  </si>
  <si>
    <t>CNR 500</t>
  </si>
  <si>
    <t>CNR 1000</t>
  </si>
  <si>
    <t>Form</t>
  </si>
  <si>
    <t>Bags</t>
  </si>
  <si>
    <t>Canisters</t>
  </si>
  <si>
    <t>CNR Dry</t>
  </si>
  <si>
    <t>Crop-N-Rich Type</t>
  </si>
  <si>
    <t>Bottles</t>
  </si>
  <si>
    <t>Pouches</t>
  </si>
  <si>
    <t>Amount Needed</t>
  </si>
  <si>
    <t>Mini-Cans</t>
  </si>
  <si>
    <t>Total Inoculant Needs</t>
  </si>
  <si>
    <t>bags</t>
  </si>
  <si>
    <t>bottles</t>
  </si>
  <si>
    <t>mini-cans</t>
  </si>
  <si>
    <t>Crop-N-Rich 1000-ton (#1850)</t>
  </si>
  <si>
    <t>Crop-N-Rich Dry 50-ton (#1835)</t>
  </si>
  <si>
    <t>Crop-N-Rich 100-ton (#1840)</t>
  </si>
  <si>
    <t>Crop-N-Rich 500-ton (#1845)</t>
  </si>
  <si>
    <t>canisters</t>
  </si>
  <si>
    <t>pouches</t>
  </si>
  <si>
    <t>Current Inventory (AF)</t>
  </si>
  <si>
    <t>Acreage/Inoculant Calculator</t>
  </si>
  <si>
    <t>Forage needs are also displayed on the "Acreage-Inoculant" sheet where</t>
  </si>
  <si>
    <t>you can enter yield projections to estimate acreage and inoculant needs.</t>
  </si>
  <si>
    <t>Fermentation Shrink</t>
  </si>
  <si>
    <t>Feedout Shrink (%)</t>
  </si>
  <si>
    <t>Feed Type #6:</t>
  </si>
  <si>
    <t>Feed Type #7:</t>
  </si>
  <si>
    <t>Feed Type #8:</t>
  </si>
  <si>
    <t>given storage structure and the total in inventory. Enter up to 8 feed types and</t>
  </si>
  <si>
    <t>Protein %:</t>
  </si>
  <si>
    <t>Butterfat %:</t>
  </si>
  <si>
    <t>Milk Component Prices</t>
  </si>
  <si>
    <t>Month</t>
  </si>
  <si>
    <t>Butterfat</t>
  </si>
  <si>
    <t>Protein</t>
  </si>
  <si>
    <t>Other Solids</t>
  </si>
  <si>
    <t>PPD (if known)</t>
  </si>
  <si>
    <t>Income over Feed Cost:</t>
  </si>
  <si>
    <t>Milk Income</t>
  </si>
  <si>
    <t>Pounds of BF</t>
  </si>
  <si>
    <t>Pounds of Pro</t>
  </si>
  <si>
    <t>Pounds of Solids</t>
  </si>
  <si>
    <t>Animal Days</t>
  </si>
  <si>
    <t>Avg</t>
  </si>
  <si>
    <t>Milk Income / Animal:</t>
  </si>
  <si>
    <t>Additional Needs</t>
  </si>
  <si>
    <t>May</t>
  </si>
  <si>
    <t>Ration Cost, $/head/day:</t>
  </si>
  <si>
    <t>Needed Tons</t>
  </si>
  <si>
    <t>Tons Booked</t>
  </si>
  <si>
    <t>% Covered</t>
  </si>
  <si>
    <t>Delivery Price</t>
  </si>
  <si>
    <t>January</t>
  </si>
  <si>
    <t>February</t>
  </si>
  <si>
    <t>March</t>
  </si>
  <si>
    <t>-</t>
  </si>
  <si>
    <t>April</t>
  </si>
  <si>
    <t>June</t>
  </si>
  <si>
    <t>July</t>
  </si>
  <si>
    <t>August</t>
  </si>
  <si>
    <t>September</t>
  </si>
  <si>
    <t>October</t>
  </si>
  <si>
    <t>November</t>
  </si>
  <si>
    <t>December</t>
  </si>
  <si>
    <t>Feed</t>
  </si>
  <si>
    <t>Feed Contract Bookings and Needs</t>
  </si>
  <si>
    <t>Date:</t>
  </si>
  <si>
    <t>Other Solids%:</t>
  </si>
  <si>
    <t>ECM Milk Price/ cwt</t>
  </si>
  <si>
    <t>Mailbox Price</t>
  </si>
  <si>
    <t>Dollar figures will be approximates based on what is entered in spreadsheet.</t>
  </si>
  <si>
    <t>ECM Feed Efficiency:</t>
  </si>
  <si>
    <t>Milk Price Calc from components</t>
  </si>
  <si>
    <t>Calculation Milk Price</t>
  </si>
  <si>
    <t>ECM Millk</t>
  </si>
  <si>
    <t>Income over feed</t>
  </si>
  <si>
    <t>Sum</t>
  </si>
  <si>
    <t>Herd Average</t>
  </si>
  <si>
    <t>Ration Cost / animal</t>
  </si>
  <si>
    <t>Total Ration Cost</t>
  </si>
  <si>
    <t>Ration cost / cwt</t>
  </si>
  <si>
    <t>Milk Income / animal</t>
  </si>
  <si>
    <t>Total Milk Income</t>
  </si>
  <si>
    <t>Income over Feed Cost</t>
  </si>
  <si>
    <t>Total Income over Feed Cost</t>
  </si>
  <si>
    <t>Total CWT milk</t>
  </si>
  <si>
    <t>Change</t>
  </si>
  <si>
    <t>Lactating Feed Cost</t>
  </si>
  <si>
    <t>Dry Cow Feed Cost</t>
  </si>
  <si>
    <t>Lact</t>
  </si>
  <si>
    <t>Dry</t>
  </si>
  <si>
    <t>Young</t>
  </si>
  <si>
    <t>Animal Type:</t>
  </si>
  <si>
    <t>Youngstock</t>
  </si>
  <si>
    <t>Energy Corrected Milk / Cow / Day</t>
  </si>
  <si>
    <t>Feed Cost / Cow / Day</t>
  </si>
  <si>
    <t>Current</t>
  </si>
  <si>
    <t>Proposed</t>
  </si>
  <si>
    <t>Revenue</t>
  </si>
  <si>
    <t>Expenditures</t>
  </si>
  <si>
    <t>Feed Cost / CWT Milk / Day</t>
  </si>
  <si>
    <t>Feed Cost / Pound Dry Matter</t>
  </si>
  <si>
    <t xml:space="preserve">Current </t>
  </si>
  <si>
    <t>Profit</t>
  </si>
  <si>
    <t>Feed Cost / Cow / Year</t>
  </si>
  <si>
    <t>Milk Income / Cow / Day</t>
  </si>
  <si>
    <t>Income Over Feed Cost / Cow / Day</t>
  </si>
  <si>
    <t>Income Over Feed Cost / Cow / Year</t>
  </si>
  <si>
    <t>Opportunity Analysis Comparing All Current and Proposed Rations</t>
  </si>
  <si>
    <t>Energy Corrected Milk / Animal / Day</t>
  </si>
  <si>
    <t>Milk Income / Animal / Day</t>
  </si>
  <si>
    <t>Total DM Fed</t>
  </si>
  <si>
    <r>
      <t xml:space="preserve">Feed Cost / Year For </t>
    </r>
    <r>
      <rPr>
        <b/>
        <sz val="10"/>
        <rFont val="Arial"/>
        <family val="2"/>
      </rPr>
      <t>ALL</t>
    </r>
    <r>
      <rPr>
        <sz val="10"/>
        <rFont val="Arial"/>
        <family val="2"/>
      </rPr>
      <t xml:space="preserve"> Rations</t>
    </r>
  </si>
  <si>
    <t>Total Animals</t>
  </si>
  <si>
    <t>Change in Revenue ALL Rations / Year</t>
  </si>
  <si>
    <t>Change in Feed Cost ALL Rations  / Year</t>
  </si>
  <si>
    <t>Change in Profit ALL Rations  / Year</t>
  </si>
  <si>
    <t>Feed Contracts can monitor feed contract needs for up to 5 selected ingredients.</t>
  </si>
  <si>
    <t>Input the feed cost and tons booked.</t>
  </si>
  <si>
    <t>Ration costs per head per day are calculated on the bottom of the "Current Rations"</t>
  </si>
  <si>
    <t>Enter ration data on the "Current Rations" sheet in lb of dry matter per head daily.</t>
  </si>
  <si>
    <t>Summary cost statistics are calculated and displayed in "Current Rations Cost Summary".</t>
  </si>
  <si>
    <t>"Proposed Rations" can be inputted as the Current Rations are inputted and a comparison</t>
  </si>
  <si>
    <t>will be in the "Current vs. Proposed Rations" as well as a "Proposed Ration Cost Summary".</t>
  </si>
  <si>
    <t>Starting Month:</t>
  </si>
  <si>
    <t>Milk Income / Group / Year</t>
  </si>
  <si>
    <t>Milk Income / Year</t>
  </si>
  <si>
    <t>Crop-N-Rich Buchneri 40788 100 ton (#1898)</t>
  </si>
  <si>
    <t>Crop-N-Rich Buchneri 40788 500 ton (#1899)</t>
  </si>
  <si>
    <t>Crop-N-Rich Stage2 100 ton (#1887)</t>
  </si>
  <si>
    <t>Crop-N-Rich Stage2 500 ton (#1888)</t>
  </si>
  <si>
    <t>CNR Buchneri 100 ton-Forage</t>
  </si>
  <si>
    <t>CNR Buchneri 100 ton-HMSC</t>
  </si>
  <si>
    <t>CNR Buchneri 500 ton-Forage</t>
  </si>
  <si>
    <t>CNR Buchneri 500 ton-HMSC</t>
  </si>
  <si>
    <t>CNR Stage2 100 ton</t>
  </si>
  <si>
    <t>CNR Stage2 500 ton</t>
  </si>
  <si>
    <r>
      <t>Surface Area (ft</t>
    </r>
    <r>
      <rPr>
        <b/>
        <vertAlign val="superscript"/>
        <sz val="10"/>
        <rFont val="Arial"/>
        <family val="2"/>
      </rPr>
      <t>2</t>
    </r>
    <r>
      <rPr>
        <b/>
        <sz val="10"/>
        <rFont val="Arial"/>
        <family val="2"/>
      </rPr>
      <t>)</t>
    </r>
  </si>
  <si>
    <t>101-120 Cubic Ft:</t>
  </si>
  <si>
    <t>Feed Inventory Projector v05-15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</si>
</sst>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0.0"/>
    <numFmt numFmtId="165" formatCode="&quot;$&quot;#,##0"/>
    <numFmt numFmtId="166" formatCode="&quot;$&quot;#,##0.00"/>
    <numFmt numFmtId="167" formatCode="0.0000"/>
    <numFmt numFmtId="168" formatCode="0.0%"/>
    <numFmt numFmtId="169" formatCode="m/d/yy"/>
    <numFmt numFmtId="170" formatCode="mmm\-yyyy"/>
    <numFmt numFmtId="171" formatCode="mmmm\ d\,\ yyyy"/>
    <numFmt numFmtId="172" formatCode="[$-409]mmmm\ d\,\ yyyy;@"/>
    <numFmt numFmtId="173" formatCode="#,##0.0"/>
  </numFmts>
  <fonts count="30" x14ac:knownFonts="1">
    <font>
      <sz val="10"/>
      <name val="Arial"/>
    </font>
    <font>
      <sz val="10"/>
      <name val="Arial"/>
      <family val="2"/>
    </font>
    <font>
      <b/>
      <sz val="10"/>
      <name val="Arial"/>
      <family val="2"/>
    </font>
    <font>
      <b/>
      <sz val="16"/>
      <name val="Arial"/>
      <family val="2"/>
    </font>
    <font>
      <b/>
      <sz val="14"/>
      <name val="Arial"/>
      <family val="2"/>
    </font>
    <font>
      <b/>
      <sz val="28"/>
      <color indexed="10"/>
      <name val="Arial"/>
      <family val="2"/>
    </font>
    <font>
      <b/>
      <sz val="20"/>
      <color indexed="18"/>
      <name val="Arial"/>
      <family val="2"/>
    </font>
    <font>
      <b/>
      <sz val="10"/>
      <color indexed="10"/>
      <name val="Arial"/>
      <family val="2"/>
    </font>
    <font>
      <sz val="10"/>
      <name val="Arial"/>
      <family val="2"/>
    </font>
    <font>
      <b/>
      <sz val="10"/>
      <color indexed="56"/>
      <name val="Arial"/>
      <family val="2"/>
    </font>
    <font>
      <sz val="5"/>
      <name val="Arial"/>
      <family val="2"/>
    </font>
    <font>
      <sz val="8"/>
      <color indexed="81"/>
      <name val="Tahoma"/>
      <family val="2"/>
    </font>
    <font>
      <b/>
      <vertAlign val="superscript"/>
      <sz val="10"/>
      <name val="Arial"/>
      <family val="2"/>
    </font>
    <font>
      <b/>
      <u/>
      <sz val="10"/>
      <name val="Arial"/>
      <family val="2"/>
    </font>
    <font>
      <b/>
      <sz val="18"/>
      <name val="Arial"/>
      <family val="2"/>
    </font>
    <font>
      <b/>
      <u/>
      <sz val="10"/>
      <color indexed="18"/>
      <name val="Arial"/>
      <family val="2"/>
    </font>
    <font>
      <b/>
      <sz val="10"/>
      <color indexed="9"/>
      <name val="Arial"/>
      <family val="2"/>
    </font>
    <font>
      <b/>
      <sz val="8"/>
      <color indexed="81"/>
      <name val="Tahoma"/>
      <family val="2"/>
    </font>
    <font>
      <b/>
      <sz val="20"/>
      <name val="Arial"/>
      <family val="2"/>
    </font>
    <font>
      <b/>
      <sz val="9"/>
      <name val="Arial"/>
      <family val="2"/>
    </font>
    <font>
      <sz val="8"/>
      <name val="Arial"/>
      <family val="2"/>
    </font>
    <font>
      <sz val="7"/>
      <name val="Arial"/>
      <family val="2"/>
    </font>
    <font>
      <b/>
      <sz val="10"/>
      <color indexed="12"/>
      <name val="Arial"/>
      <family val="2"/>
    </font>
    <font>
      <sz val="10"/>
      <color indexed="10"/>
      <name val="Arial"/>
      <family val="2"/>
    </font>
    <font>
      <b/>
      <sz val="10"/>
      <color rgb="FFFF0000"/>
      <name val="Arial"/>
      <family val="2"/>
    </font>
    <font>
      <b/>
      <sz val="12"/>
      <name val="Arial"/>
      <family val="2"/>
    </font>
    <font>
      <sz val="8"/>
      <color rgb="FF000000"/>
      <name val="Tahoma"/>
      <family val="2"/>
    </font>
    <font>
      <b/>
      <sz val="9"/>
      <color indexed="81"/>
      <name val="Tahoma"/>
      <family val="2"/>
    </font>
    <font>
      <b/>
      <sz val="1"/>
      <name val="Arial"/>
      <family val="2"/>
    </font>
    <font>
      <b/>
      <sz val="1"/>
      <color indexed="9"/>
      <name val="Arial"/>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s>
  <borders count="6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ck">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ck">
        <color indexed="64"/>
      </top>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ck">
        <color indexed="64"/>
      </top>
      <bottom style="thick">
        <color indexed="64"/>
      </bottom>
      <diagonal/>
    </border>
    <border>
      <left style="medium">
        <color indexed="64"/>
      </left>
      <right style="medium">
        <color indexed="64"/>
      </right>
      <top/>
      <bottom style="thick">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47">
    <xf numFmtId="0" fontId="0" fillId="0" borderId="0" xfId="0"/>
    <xf numFmtId="0" fontId="2" fillId="0" borderId="0" xfId="0" applyFont="1" applyProtection="1">
      <protection hidden="1"/>
    </xf>
    <xf numFmtId="0" fontId="2" fillId="0" borderId="0" xfId="0" applyFont="1" applyAlignment="1" applyProtection="1">
      <alignment horizontal="center"/>
      <protection hidden="1"/>
    </xf>
    <xf numFmtId="0" fontId="2" fillId="0" borderId="0" xfId="0" applyFont="1" applyAlignment="1" applyProtection="1">
      <alignment horizontal="center" wrapText="1"/>
      <protection hidden="1"/>
    </xf>
    <xf numFmtId="0" fontId="2" fillId="0" borderId="0" xfId="0" applyNumberFormat="1" applyFont="1" applyAlignment="1" applyProtection="1">
      <alignment horizontal="center"/>
      <protection hidden="1"/>
    </xf>
    <xf numFmtId="0" fontId="2" fillId="2" borderId="1" xfId="0" applyFont="1" applyFill="1" applyBorder="1" applyProtection="1">
      <protection locked="0"/>
    </xf>
    <xf numFmtId="165" fontId="2" fillId="2" borderId="2" xfId="1" applyNumberFormat="1" applyFont="1" applyFill="1" applyBorder="1" applyAlignment="1" applyProtection="1">
      <alignment horizontal="center"/>
      <protection locked="0"/>
    </xf>
    <xf numFmtId="9" fontId="2" fillId="2" borderId="2" xfId="1" applyFont="1" applyFill="1" applyBorder="1" applyAlignment="1" applyProtection="1">
      <alignment horizontal="center"/>
      <protection locked="0"/>
    </xf>
    <xf numFmtId="0" fontId="2" fillId="2" borderId="2" xfId="1" applyNumberFormat="1" applyFont="1" applyFill="1" applyBorder="1" applyAlignment="1" applyProtection="1">
      <alignment horizontal="center"/>
      <protection locked="0"/>
    </xf>
    <xf numFmtId="0" fontId="2" fillId="2" borderId="2" xfId="0" applyFont="1" applyFill="1" applyBorder="1" applyProtection="1">
      <protection locked="0"/>
    </xf>
    <xf numFmtId="0" fontId="2" fillId="0" borderId="3" xfId="0" applyFont="1" applyFill="1" applyBorder="1" applyProtection="1">
      <protection locked="0"/>
    </xf>
    <xf numFmtId="165" fontId="2" fillId="0" borderId="4" xfId="0" applyNumberFormat="1" applyFont="1" applyFill="1" applyBorder="1" applyAlignment="1" applyProtection="1">
      <alignment horizontal="center"/>
      <protection locked="0"/>
    </xf>
    <xf numFmtId="9" fontId="2" fillId="0" borderId="4" xfId="1" applyFont="1" applyFill="1" applyBorder="1" applyAlignment="1" applyProtection="1">
      <alignment horizontal="center"/>
      <protection locked="0"/>
    </xf>
    <xf numFmtId="0" fontId="2" fillId="0" borderId="4" xfId="1" applyNumberFormat="1" applyFont="1" applyFill="1" applyBorder="1" applyAlignment="1" applyProtection="1">
      <alignment horizontal="center"/>
      <protection locked="0"/>
    </xf>
    <xf numFmtId="0" fontId="2" fillId="0" borderId="4" xfId="0" applyFont="1" applyFill="1" applyBorder="1" applyProtection="1">
      <protection locked="0"/>
    </xf>
    <xf numFmtId="0" fontId="2" fillId="0" borderId="0" xfId="0" applyFont="1" applyProtection="1">
      <protection locked="0" hidden="1"/>
    </xf>
    <xf numFmtId="0" fontId="2" fillId="0" borderId="0" xfId="0" applyFont="1" applyAlignment="1" applyProtection="1">
      <alignment horizontal="right"/>
      <protection hidden="1"/>
    </xf>
    <xf numFmtId="0" fontId="0" fillId="0" borderId="0" xfId="0" applyProtection="1">
      <protection hidden="1"/>
    </xf>
    <xf numFmtId="0" fontId="2" fillId="0" borderId="0" xfId="0" applyFont="1" applyFill="1" applyAlignment="1" applyProtection="1">
      <alignment horizontal="right"/>
      <protection hidden="1"/>
    </xf>
    <xf numFmtId="9" fontId="2" fillId="3" borderId="5" xfId="1" applyFont="1" applyFill="1" applyBorder="1" applyAlignment="1" applyProtection="1">
      <alignment horizontal="right"/>
      <protection hidden="1"/>
    </xf>
    <xf numFmtId="0" fontId="0" fillId="0" borderId="0" xfId="0" applyAlignment="1" applyProtection="1">
      <alignment horizontal="right"/>
      <protection hidden="1"/>
    </xf>
    <xf numFmtId="0" fontId="2" fillId="2" borderId="6" xfId="0" applyFont="1" applyFill="1" applyBorder="1" applyAlignment="1" applyProtection="1">
      <alignment horizontal="center" wrapText="1"/>
      <protection locked="0"/>
    </xf>
    <xf numFmtId="2" fontId="2" fillId="2" borderId="7" xfId="0" applyNumberFormat="1" applyFont="1" applyFill="1" applyBorder="1" applyProtection="1">
      <protection locked="0"/>
    </xf>
    <xf numFmtId="2" fontId="2" fillId="2" borderId="5" xfId="0" applyNumberFormat="1" applyFont="1" applyFill="1" applyBorder="1" applyProtection="1">
      <protection locked="0"/>
    </xf>
    <xf numFmtId="2" fontId="2" fillId="2" borderId="8" xfId="0" applyNumberFormat="1" applyFont="1" applyFill="1" applyBorder="1" applyProtection="1">
      <protection locked="0"/>
    </xf>
    <xf numFmtId="0" fontId="2" fillId="2" borderId="5" xfId="0" applyFont="1" applyFill="1" applyBorder="1" applyProtection="1">
      <protection locked="0"/>
    </xf>
    <xf numFmtId="0" fontId="2" fillId="0" borderId="0" xfId="0" applyFont="1" applyAlignment="1" applyProtection="1">
      <alignment horizontal="right" wrapText="1"/>
      <protection hidden="1"/>
    </xf>
    <xf numFmtId="0" fontId="2" fillId="0" borderId="0" xfId="0" applyFont="1" applyBorder="1" applyAlignment="1" applyProtection="1">
      <alignment horizontal="center" wrapText="1"/>
      <protection hidden="1"/>
    </xf>
    <xf numFmtId="0" fontId="0" fillId="0" borderId="0" xfId="0" applyAlignment="1" applyProtection="1">
      <alignment wrapText="1"/>
      <protection hidden="1"/>
    </xf>
    <xf numFmtId="0" fontId="2" fillId="3" borderId="0" xfId="0" applyFont="1" applyFill="1" applyAlignment="1" applyProtection="1">
      <alignment horizontal="right"/>
      <protection hidden="1"/>
    </xf>
    <xf numFmtId="0" fontId="2" fillId="4" borderId="9" xfId="0" applyNumberFormat="1" applyFont="1" applyFill="1" applyBorder="1" applyAlignment="1" applyProtection="1">
      <alignment horizontal="left"/>
      <protection hidden="1"/>
    </xf>
    <xf numFmtId="1" fontId="2" fillId="4" borderId="6" xfId="0" applyNumberFormat="1" applyFont="1" applyFill="1" applyBorder="1" applyAlignment="1" applyProtection="1">
      <alignment horizontal="right"/>
      <protection hidden="1"/>
    </xf>
    <xf numFmtId="165" fontId="2" fillId="4" borderId="6" xfId="0" applyNumberFormat="1" applyFont="1" applyFill="1" applyBorder="1" applyProtection="1">
      <protection hidden="1"/>
    </xf>
    <xf numFmtId="1" fontId="2" fillId="4" borderId="1" xfId="0" applyNumberFormat="1" applyFont="1" applyFill="1" applyBorder="1" applyAlignment="1" applyProtection="1">
      <alignment horizontal="right"/>
      <protection hidden="1"/>
    </xf>
    <xf numFmtId="0" fontId="2" fillId="4" borderId="10" xfId="0" applyNumberFormat="1" applyFont="1" applyFill="1" applyBorder="1" applyAlignment="1" applyProtection="1">
      <alignment horizontal="left"/>
      <protection hidden="1"/>
    </xf>
    <xf numFmtId="1" fontId="2" fillId="4" borderId="5" xfId="0" applyNumberFormat="1" applyFont="1" applyFill="1" applyBorder="1" applyAlignment="1" applyProtection="1">
      <alignment horizontal="right"/>
      <protection hidden="1"/>
    </xf>
    <xf numFmtId="165" fontId="2" fillId="4" borderId="5" xfId="0" applyNumberFormat="1" applyFont="1" applyFill="1" applyBorder="1" applyProtection="1">
      <protection hidden="1"/>
    </xf>
    <xf numFmtId="1" fontId="2" fillId="4" borderId="11" xfId="0" applyNumberFormat="1" applyFont="1" applyFill="1" applyBorder="1" applyAlignment="1" applyProtection="1">
      <alignment horizontal="right"/>
      <protection hidden="1"/>
    </xf>
    <xf numFmtId="0" fontId="2" fillId="4" borderId="12" xfId="0" applyNumberFormat="1" applyFont="1" applyFill="1" applyBorder="1" applyAlignment="1" applyProtection="1">
      <alignment horizontal="left"/>
      <protection hidden="1"/>
    </xf>
    <xf numFmtId="0" fontId="2" fillId="4" borderId="13" xfId="0" applyNumberFormat="1" applyFont="1" applyFill="1" applyBorder="1" applyAlignment="1" applyProtection="1">
      <alignment horizontal="left"/>
      <protection hidden="1"/>
    </xf>
    <xf numFmtId="1" fontId="2" fillId="4" borderId="8" xfId="0" applyNumberFormat="1" applyFont="1" applyFill="1" applyBorder="1" applyAlignment="1" applyProtection="1">
      <alignment horizontal="right"/>
      <protection hidden="1"/>
    </xf>
    <xf numFmtId="165" fontId="2" fillId="4" borderId="8" xfId="0" applyNumberFormat="1" applyFont="1" applyFill="1" applyBorder="1" applyProtection="1">
      <protection hidden="1"/>
    </xf>
    <xf numFmtId="1" fontId="2" fillId="4" borderId="3" xfId="0" applyNumberFormat="1" applyFont="1" applyFill="1" applyBorder="1" applyAlignment="1" applyProtection="1">
      <alignment horizontal="right"/>
      <protection hidden="1"/>
    </xf>
    <xf numFmtId="165" fontId="2" fillId="0" borderId="0" xfId="0" applyNumberFormat="1" applyFont="1" applyFill="1" applyProtection="1">
      <protection hidden="1"/>
    </xf>
    <xf numFmtId="0" fontId="0" fillId="3" borderId="0" xfId="0" applyFill="1" applyProtection="1">
      <protection hidden="1"/>
    </xf>
    <xf numFmtId="0" fontId="2" fillId="0" borderId="0" xfId="0" applyFont="1" applyFill="1" applyProtection="1">
      <protection hidden="1"/>
    </xf>
    <xf numFmtId="0" fontId="2" fillId="3" borderId="0" xfId="0" applyFont="1" applyFill="1" applyProtection="1">
      <protection hidden="1"/>
    </xf>
    <xf numFmtId="0" fontId="2" fillId="4" borderId="2" xfId="0" applyNumberFormat="1" applyFont="1" applyFill="1" applyBorder="1" applyAlignment="1" applyProtection="1">
      <alignment horizontal="left"/>
      <protection hidden="1"/>
    </xf>
    <xf numFmtId="1" fontId="2" fillId="4" borderId="2" xfId="0" applyNumberFormat="1" applyFont="1" applyFill="1" applyBorder="1" applyProtection="1">
      <protection hidden="1"/>
    </xf>
    <xf numFmtId="0" fontId="2" fillId="4" borderId="14" xfId="0" applyNumberFormat="1" applyFont="1" applyFill="1" applyBorder="1" applyAlignment="1" applyProtection="1">
      <alignment horizontal="left"/>
      <protection hidden="1"/>
    </xf>
    <xf numFmtId="1" fontId="2" fillId="4" borderId="14" xfId="0" applyNumberFormat="1" applyFont="1" applyFill="1" applyBorder="1" applyProtection="1">
      <protection hidden="1"/>
    </xf>
    <xf numFmtId="0" fontId="2" fillId="4" borderId="4" xfId="0" applyNumberFormat="1" applyFont="1" applyFill="1" applyBorder="1" applyAlignment="1" applyProtection="1">
      <alignment horizontal="left"/>
      <protection hidden="1"/>
    </xf>
    <xf numFmtId="1" fontId="2" fillId="4" borderId="4" xfId="0" applyNumberFormat="1" applyFont="1" applyFill="1" applyBorder="1" applyProtection="1">
      <protection hidden="1"/>
    </xf>
    <xf numFmtId="1" fontId="2" fillId="0" borderId="0" xfId="0" applyNumberFormat="1" applyFont="1" applyProtection="1">
      <protection hidden="1"/>
    </xf>
    <xf numFmtId="0" fontId="2" fillId="2" borderId="14" xfId="0" applyFont="1" applyFill="1" applyBorder="1" applyProtection="1">
      <protection locked="0"/>
    </xf>
    <xf numFmtId="0" fontId="2" fillId="2" borderId="4" xfId="0" applyFont="1" applyFill="1" applyBorder="1" applyProtection="1">
      <protection locked="0"/>
    </xf>
    <xf numFmtId="0" fontId="5" fillId="2" borderId="0" xfId="0" applyFont="1" applyFill="1" applyAlignment="1" applyProtection="1">
      <alignment horizontal="right"/>
      <protection hidden="1"/>
    </xf>
    <xf numFmtId="0" fontId="0" fillId="2" borderId="0" xfId="0" applyFill="1" applyProtection="1">
      <protection hidden="1"/>
    </xf>
    <xf numFmtId="0" fontId="6" fillId="2" borderId="0" xfId="0" applyFont="1" applyFill="1" applyBorder="1" applyAlignment="1" applyProtection="1">
      <alignment horizontal="center"/>
      <protection hidden="1"/>
    </xf>
    <xf numFmtId="0" fontId="7" fillId="2" borderId="0" xfId="0" applyFont="1" applyFill="1" applyAlignment="1" applyProtection="1">
      <alignment horizontal="right"/>
      <protection hidden="1"/>
    </xf>
    <xf numFmtId="0" fontId="8" fillId="2" borderId="0" xfId="0" applyFont="1" applyFill="1" applyProtection="1">
      <protection hidden="1"/>
    </xf>
    <xf numFmtId="0" fontId="9" fillId="2" borderId="0" xfId="0" applyFont="1" applyFill="1" applyProtection="1">
      <protection hidden="1"/>
    </xf>
    <xf numFmtId="0" fontId="0" fillId="2" borderId="0" xfId="0" applyFill="1" applyAlignment="1" applyProtection="1">
      <alignment horizontal="right"/>
      <protection hidden="1"/>
    </xf>
    <xf numFmtId="0" fontId="2" fillId="2" borderId="0" xfId="0" applyFont="1" applyFill="1" applyProtection="1">
      <protection hidden="1"/>
    </xf>
    <xf numFmtId="0" fontId="2" fillId="2" borderId="0" xfId="0" applyFont="1" applyFill="1" applyAlignment="1" applyProtection="1">
      <alignment horizontal="right"/>
      <protection hidden="1"/>
    </xf>
    <xf numFmtId="0" fontId="10" fillId="2" borderId="0" xfId="0" applyFont="1" applyFill="1" applyAlignment="1" applyProtection="1">
      <alignment horizontal="centerContinuous"/>
      <protection hidden="1"/>
    </xf>
    <xf numFmtId="0" fontId="8" fillId="2" borderId="0" xfId="0" applyFont="1" applyFill="1" applyAlignment="1" applyProtection="1">
      <alignment horizontal="centerContinuous"/>
      <protection hidden="1"/>
    </xf>
    <xf numFmtId="169" fontId="2" fillId="0" borderId="0" xfId="0" applyNumberFormat="1" applyFont="1" applyProtection="1">
      <protection hidden="1"/>
    </xf>
    <xf numFmtId="169" fontId="2" fillId="0" borderId="0" xfId="0" applyNumberFormat="1" applyFont="1" applyAlignment="1" applyProtection="1">
      <alignment horizontal="center"/>
      <protection hidden="1"/>
    </xf>
    <xf numFmtId="169" fontId="2" fillId="0" borderId="0" xfId="0" applyNumberFormat="1" applyFont="1" applyAlignment="1" applyProtection="1">
      <alignment horizontal="center" wrapText="1"/>
      <protection hidden="1"/>
    </xf>
    <xf numFmtId="169" fontId="2" fillId="2" borderId="9" xfId="0" applyNumberFormat="1" applyFont="1" applyFill="1" applyBorder="1" applyProtection="1">
      <protection locked="0"/>
    </xf>
    <xf numFmtId="169" fontId="2" fillId="0" borderId="13" xfId="0" applyNumberFormat="1" applyFont="1" applyFill="1" applyBorder="1" applyProtection="1">
      <protection locked="0"/>
    </xf>
    <xf numFmtId="169" fontId="0" fillId="0" borderId="0" xfId="0" applyNumberFormat="1" applyProtection="1">
      <protection hidden="1"/>
    </xf>
    <xf numFmtId="164" fontId="2" fillId="0" borderId="0" xfId="0" applyNumberFormat="1" applyFont="1" applyFill="1" applyBorder="1" applyProtection="1">
      <protection hidden="1"/>
    </xf>
    <xf numFmtId="0" fontId="15" fillId="0" borderId="15" xfId="0" applyFont="1" applyBorder="1" applyAlignment="1" applyProtection="1">
      <alignment horizontal="center"/>
      <protection hidden="1"/>
    </xf>
    <xf numFmtId="0" fontId="13" fillId="0" borderId="16" xfId="0" applyFont="1" applyBorder="1" applyAlignment="1" applyProtection="1">
      <alignment horizontal="center"/>
      <protection hidden="1"/>
    </xf>
    <xf numFmtId="0" fontId="13" fillId="0" borderId="17" xfId="0" applyFont="1" applyBorder="1" applyAlignment="1" applyProtection="1">
      <alignment horizontal="center"/>
      <protection hidden="1"/>
    </xf>
    <xf numFmtId="0" fontId="2" fillId="0" borderId="18" xfId="0" applyFont="1" applyBorder="1" applyAlignment="1" applyProtection="1">
      <alignment horizontal="center"/>
      <protection hidden="1"/>
    </xf>
    <xf numFmtId="1" fontId="2" fillId="0" borderId="0" xfId="0" applyNumberFormat="1" applyFont="1" applyBorder="1" applyAlignment="1" applyProtection="1">
      <alignment horizontal="center"/>
      <protection hidden="1"/>
    </xf>
    <xf numFmtId="1" fontId="2" fillId="0" borderId="19" xfId="0" applyNumberFormat="1" applyFont="1" applyBorder="1" applyAlignment="1" applyProtection="1">
      <alignment horizontal="center"/>
      <protection hidden="1"/>
    </xf>
    <xf numFmtId="0" fontId="2" fillId="0" borderId="20" xfId="0" applyFont="1" applyBorder="1" applyAlignment="1" applyProtection="1">
      <alignment horizontal="center"/>
      <protection hidden="1"/>
    </xf>
    <xf numFmtId="1" fontId="2" fillId="0" borderId="21" xfId="0" applyNumberFormat="1" applyFont="1" applyBorder="1" applyAlignment="1" applyProtection="1">
      <alignment horizontal="center"/>
      <protection hidden="1"/>
    </xf>
    <xf numFmtId="1" fontId="2" fillId="0" borderId="22" xfId="0" applyNumberFormat="1" applyFont="1" applyBorder="1" applyAlignment="1" applyProtection="1">
      <alignment horizontal="center"/>
      <protection hidden="1"/>
    </xf>
    <xf numFmtId="0" fontId="2" fillId="0" borderId="15" xfId="0" applyFont="1" applyBorder="1" applyProtection="1">
      <protection hidden="1"/>
    </xf>
    <xf numFmtId="0" fontId="2" fillId="0" borderId="16" xfId="0" applyFont="1" applyBorder="1" applyProtection="1">
      <protection hidden="1"/>
    </xf>
    <xf numFmtId="0" fontId="2" fillId="0" borderId="17" xfId="0" applyFont="1" applyBorder="1" applyProtection="1">
      <protection hidden="1"/>
    </xf>
    <xf numFmtId="0" fontId="2" fillId="0" borderId="18" xfId="0" applyFont="1" applyBorder="1" applyProtection="1">
      <protection hidden="1"/>
    </xf>
    <xf numFmtId="0" fontId="2" fillId="0" borderId="0" xfId="0" applyFont="1" applyBorder="1" applyProtection="1">
      <protection hidden="1"/>
    </xf>
    <xf numFmtId="0" fontId="2" fillId="0" borderId="19" xfId="0" applyFont="1" applyBorder="1" applyProtection="1">
      <protection hidden="1"/>
    </xf>
    <xf numFmtId="0" fontId="2" fillId="0" borderId="0" xfId="0" applyFont="1" applyBorder="1" applyAlignment="1" applyProtection="1">
      <alignment horizontal="right"/>
      <protection hidden="1"/>
    </xf>
    <xf numFmtId="0" fontId="2" fillId="0" borderId="19" xfId="0" applyFont="1" applyBorder="1" applyAlignment="1" applyProtection="1">
      <alignment horizontal="right"/>
      <protection hidden="1"/>
    </xf>
    <xf numFmtId="164" fontId="2" fillId="0" borderId="23" xfId="0" applyNumberFormat="1" applyFont="1" applyBorder="1" applyProtection="1">
      <protection hidden="1"/>
    </xf>
    <xf numFmtId="164" fontId="2" fillId="0" borderId="10" xfId="0" applyNumberFormat="1" applyFont="1" applyBorder="1" applyProtection="1">
      <protection hidden="1"/>
    </xf>
    <xf numFmtId="164" fontId="2" fillId="0" borderId="24" xfId="0" applyNumberFormat="1" applyFont="1" applyBorder="1" applyProtection="1">
      <protection hidden="1"/>
    </xf>
    <xf numFmtId="164" fontId="2" fillId="0" borderId="13" xfId="0" applyNumberFormat="1" applyFont="1" applyBorder="1" applyProtection="1">
      <protection hidden="1"/>
    </xf>
    <xf numFmtId="0" fontId="2" fillId="0" borderId="0" xfId="0" applyFont="1" applyBorder="1" applyAlignment="1" applyProtection="1">
      <alignment horizontal="center"/>
      <protection hidden="1"/>
    </xf>
    <xf numFmtId="164" fontId="2" fillId="0" borderId="23" xfId="0" applyNumberFormat="1" applyFont="1" applyFill="1" applyBorder="1" applyProtection="1">
      <protection hidden="1"/>
    </xf>
    <xf numFmtId="164" fontId="2" fillId="0" borderId="24" xfId="0" applyNumberFormat="1" applyFont="1" applyFill="1" applyBorder="1" applyProtection="1">
      <protection hidden="1"/>
    </xf>
    <xf numFmtId="0" fontId="2" fillId="0" borderId="0" xfId="0" applyFont="1" applyFill="1" applyBorder="1" applyProtection="1">
      <protection hidden="1"/>
    </xf>
    <xf numFmtId="9" fontId="2" fillId="0" borderId="0" xfId="1" applyFont="1" applyFill="1" applyBorder="1" applyProtection="1">
      <protection hidden="1"/>
    </xf>
    <xf numFmtId="0" fontId="2" fillId="0" borderId="16" xfId="0" applyFont="1" applyBorder="1" applyAlignment="1" applyProtection="1">
      <alignment horizontal="center"/>
      <protection hidden="1"/>
    </xf>
    <xf numFmtId="0" fontId="2" fillId="0" borderId="25" xfId="0" applyFont="1" applyBorder="1" applyAlignment="1" applyProtection="1">
      <alignment horizontal="center"/>
      <protection hidden="1"/>
    </xf>
    <xf numFmtId="164" fontId="2" fillId="0" borderId="23" xfId="1" applyNumberFormat="1" applyFont="1" applyFill="1" applyBorder="1" applyProtection="1">
      <protection hidden="1"/>
    </xf>
    <xf numFmtId="164" fontId="2" fillId="0" borderId="24" xfId="1" applyNumberFormat="1" applyFont="1" applyFill="1" applyBorder="1" applyProtection="1">
      <protection hidden="1"/>
    </xf>
    <xf numFmtId="0" fontId="2" fillId="2" borderId="26" xfId="0" applyFont="1" applyFill="1" applyBorder="1" applyAlignment="1" applyProtection="1">
      <alignment horizontal="center"/>
      <protection locked="0" hidden="1"/>
    </xf>
    <xf numFmtId="0" fontId="2" fillId="2" borderId="27" xfId="0" applyFont="1" applyFill="1" applyBorder="1" applyAlignment="1" applyProtection="1">
      <alignment horizontal="center"/>
      <protection locked="0" hidden="1"/>
    </xf>
    <xf numFmtId="2" fontId="2" fillId="4" borderId="8" xfId="0" applyNumberFormat="1" applyFont="1" applyFill="1" applyBorder="1" applyProtection="1">
      <protection hidden="1"/>
    </xf>
    <xf numFmtId="164" fontId="2" fillId="3" borderId="7" xfId="0" applyNumberFormat="1" applyFont="1" applyFill="1" applyBorder="1" applyAlignment="1" applyProtection="1">
      <alignment horizontal="right"/>
      <protection hidden="1"/>
    </xf>
    <xf numFmtId="164" fontId="2" fillId="3" borderId="5" xfId="0" applyNumberFormat="1" applyFont="1" applyFill="1" applyBorder="1" applyAlignment="1" applyProtection="1">
      <alignment horizontal="right"/>
      <protection hidden="1"/>
    </xf>
    <xf numFmtId="0" fontId="4" fillId="0" borderId="0" xfId="0" applyFont="1" applyAlignment="1" applyProtection="1">
      <alignment horizontal="center" vertical="center"/>
      <protection hidden="1"/>
    </xf>
    <xf numFmtId="0" fontId="2" fillId="4" borderId="6" xfId="0" applyFont="1" applyFill="1" applyBorder="1" applyAlignment="1" applyProtection="1">
      <alignment horizontal="center" wrapText="1"/>
      <protection hidden="1"/>
    </xf>
    <xf numFmtId="1" fontId="2" fillId="4" borderId="7" xfId="0" applyNumberFormat="1" applyFont="1" applyFill="1" applyBorder="1" applyProtection="1">
      <protection hidden="1"/>
    </xf>
    <xf numFmtId="2" fontId="2" fillId="4" borderId="7" xfId="0" applyNumberFormat="1" applyFont="1" applyFill="1" applyBorder="1" applyProtection="1">
      <protection hidden="1"/>
    </xf>
    <xf numFmtId="169" fontId="2" fillId="4" borderId="7" xfId="0" applyNumberFormat="1" applyFont="1" applyFill="1" applyBorder="1" applyProtection="1">
      <protection hidden="1"/>
    </xf>
    <xf numFmtId="1" fontId="2" fillId="4" borderId="5" xfId="0" applyNumberFormat="1" applyFont="1" applyFill="1" applyBorder="1" applyProtection="1">
      <protection hidden="1"/>
    </xf>
    <xf numFmtId="2" fontId="2" fillId="4" borderId="5" xfId="0" applyNumberFormat="1" applyFont="1" applyFill="1" applyBorder="1" applyProtection="1">
      <protection hidden="1"/>
    </xf>
    <xf numFmtId="169" fontId="2" fillId="4" borderId="5" xfId="0" applyNumberFormat="1" applyFont="1" applyFill="1" applyBorder="1" applyProtection="1">
      <protection hidden="1"/>
    </xf>
    <xf numFmtId="1" fontId="2" fillId="4" borderId="8" xfId="0" applyNumberFormat="1" applyFont="1" applyFill="1" applyBorder="1" applyProtection="1">
      <protection hidden="1"/>
    </xf>
    <xf numFmtId="169" fontId="2" fillId="4" borderId="8" xfId="0" applyNumberFormat="1" applyFont="1" applyFill="1" applyBorder="1" applyProtection="1">
      <protection hidden="1"/>
    </xf>
    <xf numFmtId="165" fontId="2" fillId="3" borderId="28" xfId="0" applyNumberFormat="1" applyFont="1" applyFill="1" applyBorder="1" applyProtection="1">
      <protection hidden="1"/>
    </xf>
    <xf numFmtId="165" fontId="2" fillId="3" borderId="29" xfId="0" applyNumberFormat="1" applyFont="1" applyFill="1" applyBorder="1" applyProtection="1">
      <protection hidden="1"/>
    </xf>
    <xf numFmtId="166" fontId="2" fillId="3" borderId="29" xfId="0" applyNumberFormat="1" applyFont="1" applyFill="1" applyBorder="1" applyProtection="1">
      <protection hidden="1"/>
    </xf>
    <xf numFmtId="168" fontId="2" fillId="3" borderId="30" xfId="1" applyNumberFormat="1" applyFont="1" applyFill="1" applyBorder="1" applyProtection="1">
      <protection hidden="1"/>
    </xf>
    <xf numFmtId="0" fontId="2" fillId="2" borderId="2" xfId="0" applyFont="1" applyFill="1" applyBorder="1" applyProtection="1">
      <protection hidden="1"/>
    </xf>
    <xf numFmtId="0" fontId="2" fillId="0" borderId="4" xfId="0" applyFont="1" applyFill="1" applyBorder="1" applyProtection="1">
      <protection hidden="1"/>
    </xf>
    <xf numFmtId="0" fontId="2" fillId="0" borderId="17" xfId="0" applyFont="1" applyBorder="1" applyAlignment="1" applyProtection="1">
      <alignment horizontal="center"/>
      <protection hidden="1"/>
    </xf>
    <xf numFmtId="0" fontId="2" fillId="0" borderId="19" xfId="0" applyFont="1" applyBorder="1" applyAlignment="1" applyProtection="1">
      <alignment horizontal="center"/>
      <protection hidden="1"/>
    </xf>
    <xf numFmtId="164" fontId="2" fillId="0" borderId="10" xfId="0" applyNumberFormat="1" applyFont="1" applyFill="1" applyBorder="1" applyAlignment="1" applyProtection="1">
      <alignment horizontal="center"/>
      <protection hidden="1"/>
    </xf>
    <xf numFmtId="164" fontId="2" fillId="0" borderId="13" xfId="0" applyNumberFormat="1" applyFont="1" applyFill="1" applyBorder="1" applyAlignment="1" applyProtection="1">
      <alignment horizontal="center"/>
      <protection hidden="1"/>
    </xf>
    <xf numFmtId="1" fontId="2" fillId="0" borderId="0" xfId="0" applyNumberFormat="1" applyFont="1" applyFill="1" applyBorder="1" applyAlignment="1" applyProtection="1">
      <alignment horizontal="center"/>
      <protection hidden="1"/>
    </xf>
    <xf numFmtId="164" fontId="2" fillId="0" borderId="26" xfId="0" applyNumberFormat="1" applyFont="1" applyFill="1" applyBorder="1" applyProtection="1">
      <protection hidden="1"/>
    </xf>
    <xf numFmtId="0" fontId="2" fillId="2" borderId="0" xfId="0" applyFont="1" applyFill="1" applyAlignment="1" applyProtection="1">
      <alignment horizontal="left"/>
      <protection locked="0"/>
    </xf>
    <xf numFmtId="0" fontId="2" fillId="2" borderId="31" xfId="0" applyFont="1" applyFill="1" applyBorder="1" applyProtection="1">
      <protection locked="0"/>
    </xf>
    <xf numFmtId="0" fontId="2" fillId="2" borderId="32" xfId="0" applyFont="1" applyFill="1" applyBorder="1" applyProtection="1">
      <protection locked="0"/>
    </xf>
    <xf numFmtId="0" fontId="2" fillId="2" borderId="33" xfId="0" applyFont="1" applyFill="1" applyBorder="1" applyProtection="1">
      <protection locked="0"/>
    </xf>
    <xf numFmtId="164" fontId="2" fillId="2" borderId="33" xfId="0" applyNumberFormat="1" applyFont="1" applyFill="1" applyBorder="1" applyProtection="1">
      <protection locked="0"/>
    </xf>
    <xf numFmtId="9" fontId="2" fillId="2" borderId="33" xfId="1" applyFont="1" applyFill="1" applyBorder="1" applyProtection="1">
      <protection locked="0"/>
    </xf>
    <xf numFmtId="0" fontId="2" fillId="2" borderId="34" xfId="0" applyFont="1" applyFill="1" applyBorder="1" applyProtection="1">
      <protection locked="0"/>
    </xf>
    <xf numFmtId="164" fontId="2" fillId="2" borderId="34" xfId="0" applyNumberFormat="1" applyFont="1" applyFill="1" applyBorder="1" applyProtection="1">
      <protection locked="0"/>
    </xf>
    <xf numFmtId="9" fontId="2" fillId="2" borderId="34" xfId="1" applyFont="1" applyFill="1" applyBorder="1" applyProtection="1">
      <protection locked="0"/>
    </xf>
    <xf numFmtId="0" fontId="2" fillId="2" borderId="33" xfId="0" applyFont="1" applyFill="1" applyBorder="1" applyAlignment="1" applyProtection="1">
      <alignment horizontal="center"/>
      <protection locked="0"/>
    </xf>
    <xf numFmtId="0" fontId="2" fillId="2" borderId="34" xfId="0" applyFont="1" applyFill="1" applyBorder="1" applyAlignment="1" applyProtection="1">
      <alignment horizontal="center"/>
      <protection locked="0"/>
    </xf>
    <xf numFmtId="168" fontId="2" fillId="2" borderId="33" xfId="0" applyNumberFormat="1" applyFont="1" applyFill="1" applyBorder="1" applyProtection="1">
      <protection locked="0"/>
    </xf>
    <xf numFmtId="1" fontId="2" fillId="2" borderId="33" xfId="1" applyNumberFormat="1" applyFont="1" applyFill="1" applyBorder="1" applyProtection="1">
      <protection locked="0"/>
    </xf>
    <xf numFmtId="1" fontId="2" fillId="2" borderId="23" xfId="1" applyNumberFormat="1" applyFont="1" applyFill="1" applyBorder="1" applyProtection="1">
      <protection locked="0"/>
    </xf>
    <xf numFmtId="168" fontId="2" fillId="2" borderId="34" xfId="0" applyNumberFormat="1" applyFont="1" applyFill="1" applyBorder="1" applyProtection="1">
      <protection locked="0"/>
    </xf>
    <xf numFmtId="1" fontId="2" fillId="2" borderId="34" xfId="1" applyNumberFormat="1" applyFont="1" applyFill="1" applyBorder="1" applyProtection="1">
      <protection locked="0"/>
    </xf>
    <xf numFmtId="1" fontId="2" fillId="2" borderId="24" xfId="1" applyNumberFormat="1" applyFont="1" applyFill="1" applyBorder="1" applyProtection="1">
      <protection locked="0"/>
    </xf>
    <xf numFmtId="0" fontId="16" fillId="0" borderId="0" xfId="0" applyFont="1" applyProtection="1">
      <protection locked="0" hidden="1"/>
    </xf>
    <xf numFmtId="1" fontId="2" fillId="4" borderId="1" xfId="0" applyNumberFormat="1" applyFont="1" applyFill="1" applyBorder="1" applyProtection="1">
      <protection hidden="1"/>
    </xf>
    <xf numFmtId="1" fontId="2" fillId="4" borderId="11" xfId="0" applyNumberFormat="1" applyFont="1" applyFill="1" applyBorder="1" applyProtection="1">
      <protection hidden="1"/>
    </xf>
    <xf numFmtId="1" fontId="2" fillId="4" borderId="3" xfId="0" applyNumberFormat="1" applyFont="1" applyFill="1" applyBorder="1" applyProtection="1">
      <protection hidden="1"/>
    </xf>
    <xf numFmtId="1" fontId="2" fillId="5" borderId="2" xfId="0" applyNumberFormat="1" applyFont="1" applyFill="1" applyBorder="1" applyProtection="1">
      <protection hidden="1"/>
    </xf>
    <xf numFmtId="1" fontId="2" fillId="5" borderId="14" xfId="0" applyNumberFormat="1" applyFont="1" applyFill="1" applyBorder="1" applyProtection="1">
      <protection hidden="1"/>
    </xf>
    <xf numFmtId="1" fontId="2" fillId="5" borderId="4" xfId="0" applyNumberFormat="1" applyFont="1" applyFill="1" applyBorder="1" applyProtection="1">
      <protection hidden="1"/>
    </xf>
    <xf numFmtId="0" fontId="0" fillId="4" borderId="9" xfId="0" applyFill="1" applyBorder="1" applyProtection="1">
      <protection hidden="1"/>
    </xf>
    <xf numFmtId="0" fontId="0" fillId="4" borderId="10" xfId="0" applyFill="1" applyBorder="1" applyProtection="1">
      <protection hidden="1"/>
    </xf>
    <xf numFmtId="0" fontId="0" fillId="4" borderId="13" xfId="0" applyFill="1" applyBorder="1" applyProtection="1">
      <protection hidden="1"/>
    </xf>
    <xf numFmtId="0" fontId="4" fillId="0" borderId="0" xfId="0" applyFont="1" applyAlignment="1" applyProtection="1">
      <alignment horizontal="right"/>
      <protection hidden="1"/>
    </xf>
    <xf numFmtId="0" fontId="0" fillId="0" borderId="16" xfId="0" applyBorder="1" applyProtection="1">
      <protection locked="0" hidden="1"/>
    </xf>
    <xf numFmtId="0" fontId="0" fillId="0" borderId="0" xfId="0" applyProtection="1">
      <protection locked="0" hidden="1"/>
    </xf>
    <xf numFmtId="0" fontId="0" fillId="0" borderId="21" xfId="0" applyBorder="1" applyProtection="1">
      <protection locked="0" hidden="1"/>
    </xf>
    <xf numFmtId="0" fontId="4" fillId="0" borderId="0" xfId="0" applyFont="1" applyAlignment="1" applyProtection="1">
      <alignment vertical="top"/>
      <protection hidden="1"/>
    </xf>
    <xf numFmtId="0" fontId="0" fillId="0" borderId="0" xfId="0" applyAlignment="1" applyProtection="1">
      <alignment horizontal="center"/>
      <protection hidden="1"/>
    </xf>
    <xf numFmtId="9" fontId="2" fillId="2" borderId="0" xfId="0" applyNumberFormat="1" applyFont="1" applyFill="1" applyAlignment="1" applyProtection="1">
      <alignment horizontal="center"/>
      <protection locked="0"/>
    </xf>
    <xf numFmtId="0" fontId="8" fillId="0" borderId="0" xfId="0" applyFont="1" applyAlignment="1" applyProtection="1">
      <alignment horizontal="right"/>
      <protection hidden="1"/>
    </xf>
    <xf numFmtId="0" fontId="0" fillId="0" borderId="0" xfId="0" applyNumberFormat="1" applyProtection="1">
      <protection hidden="1"/>
    </xf>
    <xf numFmtId="0" fontId="8" fillId="0" borderId="0" xfId="0" applyFont="1" applyProtection="1">
      <protection hidden="1"/>
    </xf>
    <xf numFmtId="2" fontId="0" fillId="0" borderId="0" xfId="0" applyNumberFormat="1"/>
    <xf numFmtId="166" fontId="2" fillId="6" borderId="5" xfId="0" applyNumberFormat="1" applyFont="1" applyFill="1" applyBorder="1" applyAlignment="1" applyProtection="1">
      <alignment horizontal="right"/>
      <protection hidden="1"/>
    </xf>
    <xf numFmtId="166" fontId="2" fillId="6" borderId="10" xfId="0" applyNumberFormat="1" applyFont="1" applyFill="1" applyBorder="1" applyAlignment="1" applyProtection="1">
      <alignment horizontal="right"/>
      <protection hidden="1"/>
    </xf>
    <xf numFmtId="0" fontId="8" fillId="0" borderId="0" xfId="0" applyFont="1" applyAlignment="1">
      <alignment horizontal="center"/>
    </xf>
    <xf numFmtId="2" fontId="0" fillId="0" borderId="0" xfId="0" applyNumberFormat="1" applyProtection="1">
      <protection hidden="1"/>
    </xf>
    <xf numFmtId="0" fontId="8" fillId="0" borderId="0" xfId="0" applyFont="1"/>
    <xf numFmtId="164" fontId="0" fillId="0" borderId="35" xfId="0" applyNumberFormat="1" applyBorder="1"/>
    <xf numFmtId="0" fontId="0" fillId="0" borderId="35" xfId="0" applyBorder="1"/>
    <xf numFmtId="0" fontId="0" fillId="0" borderId="36" xfId="0" applyBorder="1"/>
    <xf numFmtId="0" fontId="8" fillId="0" borderId="36" xfId="0" applyFont="1" applyBorder="1" applyAlignment="1">
      <alignment wrapText="1"/>
    </xf>
    <xf numFmtId="0" fontId="8" fillId="0" borderId="37" xfId="0" applyFont="1" applyBorder="1" applyAlignment="1">
      <alignment wrapText="1"/>
    </xf>
    <xf numFmtId="164" fontId="0" fillId="0" borderId="38" xfId="0" applyNumberFormat="1" applyBorder="1"/>
    <xf numFmtId="0" fontId="0" fillId="0" borderId="39" xfId="0" applyBorder="1"/>
    <xf numFmtId="9" fontId="0" fillId="0" borderId="39" xfId="1" applyFont="1" applyBorder="1"/>
    <xf numFmtId="164" fontId="0" fillId="0" borderId="40" xfId="0" applyNumberFormat="1" applyBorder="1"/>
    <xf numFmtId="164" fontId="0" fillId="0" borderId="39" xfId="0" applyNumberFormat="1" applyBorder="1"/>
    <xf numFmtId="164" fontId="0" fillId="0" borderId="41" xfId="0" applyNumberFormat="1" applyBorder="1"/>
    <xf numFmtId="0" fontId="0" fillId="0" borderId="0" xfId="0" applyBorder="1"/>
    <xf numFmtId="9" fontId="0" fillId="0" borderId="0" xfId="1" applyFont="1" applyBorder="1"/>
    <xf numFmtId="164" fontId="0" fillId="0" borderId="0" xfId="0" applyNumberFormat="1" applyBorder="1"/>
    <xf numFmtId="164" fontId="0" fillId="0" borderId="42" xfId="0" applyNumberFormat="1" applyBorder="1"/>
    <xf numFmtId="9" fontId="0" fillId="0" borderId="43" xfId="1" applyFont="1" applyBorder="1"/>
    <xf numFmtId="164" fontId="0" fillId="0" borderId="44" xfId="0" applyNumberFormat="1" applyBorder="1"/>
    <xf numFmtId="164" fontId="0" fillId="0" borderId="43" xfId="0" applyNumberFormat="1" applyBorder="1"/>
    <xf numFmtId="0" fontId="8" fillId="0" borderId="45" xfId="0" applyFont="1" applyBorder="1" applyAlignment="1">
      <alignment wrapText="1"/>
    </xf>
    <xf numFmtId="164" fontId="0" fillId="0" borderId="36" xfId="0" applyNumberFormat="1" applyBorder="1"/>
    <xf numFmtId="0" fontId="18" fillId="0" borderId="0" xfId="0" applyFont="1" applyBorder="1" applyAlignment="1"/>
    <xf numFmtId="0" fontId="18" fillId="0" borderId="43" xfId="0" applyFont="1" applyBorder="1" applyAlignment="1"/>
    <xf numFmtId="0" fontId="2" fillId="0" borderId="0" xfId="0" applyFont="1" applyBorder="1" applyAlignment="1">
      <alignment horizontal="right"/>
    </xf>
    <xf numFmtId="0" fontId="0" fillId="7" borderId="39" xfId="0" applyFill="1" applyBorder="1" applyProtection="1">
      <protection locked="0"/>
    </xf>
    <xf numFmtId="0" fontId="0" fillId="7" borderId="0" xfId="0" applyFill="1" applyBorder="1" applyProtection="1">
      <protection locked="0"/>
    </xf>
    <xf numFmtId="0" fontId="0" fillId="7" borderId="43" xfId="0" applyFill="1" applyBorder="1" applyProtection="1">
      <protection locked="0"/>
    </xf>
    <xf numFmtId="0" fontId="19" fillId="0" borderId="0" xfId="0" applyFont="1" applyBorder="1" applyAlignment="1" applyProtection="1">
      <alignment horizontal="center" wrapText="1"/>
      <protection hidden="1"/>
    </xf>
    <xf numFmtId="0" fontId="2" fillId="0" borderId="21" xfId="0" applyFont="1" applyBorder="1" applyProtection="1">
      <protection hidden="1"/>
    </xf>
    <xf numFmtId="0" fontId="2" fillId="0" borderId="29" xfId="0" applyFont="1" applyBorder="1" applyProtection="1">
      <protection hidden="1"/>
    </xf>
    <xf numFmtId="170" fontId="2" fillId="2" borderId="7" xfId="0" applyNumberFormat="1" applyFont="1" applyFill="1" applyBorder="1" applyProtection="1">
      <protection locked="0"/>
    </xf>
    <xf numFmtId="167" fontId="2" fillId="2" borderId="5" xfId="0" applyNumberFormat="1" applyFont="1" applyFill="1" applyBorder="1" applyProtection="1">
      <protection locked="0"/>
    </xf>
    <xf numFmtId="10" fontId="2" fillId="2" borderId="5" xfId="0" applyNumberFormat="1" applyFont="1" applyFill="1" applyBorder="1" applyProtection="1">
      <protection locked="0"/>
    </xf>
    <xf numFmtId="166" fontId="2" fillId="6" borderId="49" xfId="0" applyNumberFormat="1" applyFont="1" applyFill="1" applyBorder="1" applyAlignment="1" applyProtection="1">
      <alignment horizontal="right"/>
      <protection hidden="1"/>
    </xf>
    <xf numFmtId="169" fontId="2" fillId="0" borderId="46" xfId="0" applyNumberFormat="1" applyFont="1" applyBorder="1" applyProtection="1">
      <protection hidden="1"/>
    </xf>
    <xf numFmtId="0" fontId="2" fillId="0" borderId="48" xfId="0" applyFont="1" applyBorder="1" applyAlignment="1" applyProtection="1">
      <alignment horizontal="right"/>
      <protection hidden="1"/>
    </xf>
    <xf numFmtId="4" fontId="2" fillId="6" borderId="5" xfId="0" applyNumberFormat="1" applyFont="1" applyFill="1" applyBorder="1" applyAlignment="1" applyProtection="1">
      <alignment horizontal="right"/>
      <protection hidden="1"/>
    </xf>
    <xf numFmtId="0" fontId="21" fillId="0" borderId="0" xfId="0" applyFont="1" applyProtection="1">
      <protection hidden="1"/>
    </xf>
    <xf numFmtId="164" fontId="21" fillId="0" borderId="0" xfId="0" applyNumberFormat="1" applyFont="1" applyProtection="1">
      <protection hidden="1"/>
    </xf>
    <xf numFmtId="166" fontId="21" fillId="0" borderId="0" xfId="0" applyNumberFormat="1" applyFont="1" applyProtection="1">
      <protection hidden="1"/>
    </xf>
    <xf numFmtId="2" fontId="21" fillId="0" borderId="0" xfId="0" applyNumberFormat="1" applyFont="1" applyProtection="1">
      <protection hidden="1"/>
    </xf>
    <xf numFmtId="0" fontId="2" fillId="0" borderId="0" xfId="0" applyFont="1" applyBorder="1" applyAlignment="1" applyProtection="1">
      <alignment horizontal="center" wrapText="1"/>
      <protection hidden="1"/>
    </xf>
    <xf numFmtId="166" fontId="2" fillId="2" borderId="6" xfId="0" applyNumberFormat="1" applyFont="1" applyFill="1" applyBorder="1" applyProtection="1">
      <protection locked="0"/>
    </xf>
    <xf numFmtId="165" fontId="2" fillId="4" borderId="28" xfId="0" applyNumberFormat="1" applyFont="1" applyFill="1" applyBorder="1" applyProtection="1">
      <protection hidden="1"/>
    </xf>
    <xf numFmtId="165" fontId="2" fillId="4" borderId="49" xfId="0" applyNumberFormat="1" applyFont="1" applyFill="1" applyBorder="1" applyProtection="1">
      <protection hidden="1"/>
    </xf>
    <xf numFmtId="165" fontId="2" fillId="4" borderId="7" xfId="0" applyNumberFormat="1" applyFont="1" applyFill="1" applyBorder="1" applyProtection="1">
      <protection hidden="1"/>
    </xf>
    <xf numFmtId="165" fontId="2" fillId="4" borderId="29" xfId="0" applyNumberFormat="1" applyFont="1" applyFill="1" applyBorder="1" applyProtection="1">
      <protection hidden="1"/>
    </xf>
    <xf numFmtId="0" fontId="4" fillId="0" borderId="0" xfId="0" applyFont="1" applyAlignment="1" applyProtection="1">
      <alignment horizontal="center" vertical="center"/>
      <protection hidden="1"/>
    </xf>
    <xf numFmtId="0" fontId="2" fillId="0" borderId="0" xfId="0" applyFont="1" applyBorder="1" applyAlignment="1" applyProtection="1">
      <alignment horizontal="center" wrapText="1"/>
      <protection hidden="1"/>
    </xf>
    <xf numFmtId="166" fontId="2" fillId="4" borderId="5" xfId="0" applyNumberFormat="1" applyFont="1" applyFill="1" applyBorder="1" applyProtection="1">
      <protection hidden="1"/>
    </xf>
    <xf numFmtId="166" fontId="2" fillId="4" borderId="53" xfId="0" applyNumberFormat="1" applyFont="1" applyFill="1" applyBorder="1" applyProtection="1">
      <protection hidden="1"/>
    </xf>
    <xf numFmtId="166" fontId="2" fillId="4" borderId="49" xfId="0" applyNumberFormat="1" applyFont="1" applyFill="1" applyBorder="1" applyProtection="1">
      <protection hidden="1"/>
    </xf>
    <xf numFmtId="166" fontId="2" fillId="4" borderId="55" xfId="0" applyNumberFormat="1" applyFont="1" applyFill="1" applyBorder="1" applyProtection="1">
      <protection hidden="1"/>
    </xf>
    <xf numFmtId="0" fontId="2" fillId="6" borderId="6" xfId="0" applyFont="1" applyFill="1" applyBorder="1" applyAlignment="1" applyProtection="1">
      <alignment horizontal="center" wrapText="1"/>
      <protection locked="0"/>
    </xf>
    <xf numFmtId="0" fontId="2" fillId="7" borderId="5" xfId="0" applyFont="1" applyFill="1" applyBorder="1" applyProtection="1">
      <protection locked="0"/>
    </xf>
    <xf numFmtId="173" fontId="21" fillId="0" borderId="0" xfId="0" applyNumberFormat="1" applyFont="1" applyProtection="1">
      <protection hidden="1"/>
    </xf>
    <xf numFmtId="169" fontId="21" fillId="0" borderId="0" xfId="0" applyNumberFormat="1" applyFont="1" applyProtection="1">
      <protection hidden="1"/>
    </xf>
    <xf numFmtId="164" fontId="0" fillId="0" borderId="0" xfId="0" applyNumberFormat="1" applyProtection="1">
      <protection hidden="1"/>
    </xf>
    <xf numFmtId="0" fontId="8" fillId="0" borderId="48" xfId="0" applyFont="1" applyBorder="1" applyProtection="1">
      <protection hidden="1"/>
    </xf>
    <xf numFmtId="0" fontId="2" fillId="0" borderId="48" xfId="0" applyFont="1" applyBorder="1" applyProtection="1">
      <protection hidden="1"/>
    </xf>
    <xf numFmtId="0" fontId="2" fillId="0" borderId="58" xfId="0" applyFont="1" applyBorder="1" applyProtection="1">
      <protection hidden="1"/>
    </xf>
    <xf numFmtId="0" fontId="2" fillId="0" borderId="52" xfId="0" applyFont="1" applyBorder="1" applyProtection="1">
      <protection hidden="1"/>
    </xf>
    <xf numFmtId="0" fontId="8" fillId="0" borderId="52" xfId="0" applyFont="1" applyBorder="1" applyProtection="1">
      <protection hidden="1"/>
    </xf>
    <xf numFmtId="2" fontId="8" fillId="0" borderId="52" xfId="0" applyNumberFormat="1" applyFont="1" applyBorder="1" applyProtection="1">
      <protection hidden="1"/>
    </xf>
    <xf numFmtId="2" fontId="8" fillId="0" borderId="53" xfId="0" applyNumberFormat="1" applyFont="1" applyBorder="1" applyProtection="1">
      <protection hidden="1"/>
    </xf>
    <xf numFmtId="0" fontId="8" fillId="0" borderId="19" xfId="0" applyFont="1" applyBorder="1" applyAlignment="1" applyProtection="1">
      <alignment horizontal="right" vertical="center"/>
      <protection hidden="1"/>
    </xf>
    <xf numFmtId="0" fontId="8" fillId="0" borderId="19" xfId="0" applyFont="1" applyBorder="1" applyAlignment="1" applyProtection="1">
      <alignment horizontal="right"/>
      <protection hidden="1"/>
    </xf>
    <xf numFmtId="166" fontId="8" fillId="0" borderId="30" xfId="2" applyNumberFormat="1" applyFont="1" applyFill="1" applyBorder="1" applyProtection="1">
      <protection hidden="1"/>
    </xf>
    <xf numFmtId="166" fontId="8" fillId="0" borderId="22" xfId="2" applyNumberFormat="1" applyFont="1" applyFill="1" applyBorder="1" applyProtection="1">
      <protection hidden="1"/>
    </xf>
    <xf numFmtId="166" fontId="8" fillId="0" borderId="29" xfId="2" applyNumberFormat="1" applyFont="1" applyBorder="1" applyProtection="1">
      <protection hidden="1"/>
    </xf>
    <xf numFmtId="0" fontId="8" fillId="0" borderId="0" xfId="0" applyFont="1" applyAlignment="1" applyProtection="1">
      <alignment horizontal="right" vertical="center"/>
      <protection hidden="1"/>
    </xf>
    <xf numFmtId="2" fontId="8" fillId="0" borderId="0" xfId="0" applyNumberFormat="1" applyFont="1" applyFill="1" applyProtection="1">
      <protection hidden="1"/>
    </xf>
    <xf numFmtId="166" fontId="8" fillId="0" borderId="0" xfId="0" applyNumberFormat="1" applyFont="1" applyProtection="1">
      <protection hidden="1"/>
    </xf>
    <xf numFmtId="0" fontId="2" fillId="0" borderId="43" xfId="0" applyFont="1" applyBorder="1" applyAlignment="1" applyProtection="1">
      <alignment horizontal="left" vertical="center"/>
      <protection hidden="1"/>
    </xf>
    <xf numFmtId="2" fontId="8" fillId="0" borderId="43" xfId="0" applyNumberFormat="1" applyFont="1" applyFill="1" applyBorder="1" applyProtection="1">
      <protection hidden="1"/>
    </xf>
    <xf numFmtId="166" fontId="8" fillId="0" borderId="43" xfId="0" applyNumberFormat="1" applyFont="1" applyBorder="1" applyProtection="1">
      <protection hidden="1"/>
    </xf>
    <xf numFmtId="0" fontId="8" fillId="0" borderId="50" xfId="0" applyFont="1" applyBorder="1" applyAlignment="1" applyProtection="1">
      <alignment horizontal="right" vertical="center"/>
      <protection hidden="1"/>
    </xf>
    <xf numFmtId="166" fontId="8" fillId="0" borderId="56" xfId="2" applyNumberFormat="1" applyFont="1" applyBorder="1" applyProtection="1">
      <protection hidden="1"/>
    </xf>
    <xf numFmtId="166" fontId="8" fillId="0" borderId="19" xfId="2" applyNumberFormat="1" applyFont="1" applyFill="1" applyBorder="1" applyProtection="1">
      <protection hidden="1"/>
    </xf>
    <xf numFmtId="0" fontId="8" fillId="0" borderId="22" xfId="0" applyFont="1" applyBorder="1" applyAlignment="1" applyProtection="1">
      <alignment horizontal="right" vertical="center"/>
      <protection hidden="1"/>
    </xf>
    <xf numFmtId="0" fontId="8" fillId="0" borderId="0" xfId="0" applyFont="1" applyBorder="1" applyAlignment="1" applyProtection="1">
      <alignment horizontal="right" vertical="center"/>
      <protection hidden="1"/>
    </xf>
    <xf numFmtId="44" fontId="23" fillId="0" borderId="0" xfId="2" applyFont="1" applyBorder="1" applyAlignment="1" applyProtection="1">
      <alignment horizontal="right"/>
      <protection hidden="1"/>
    </xf>
    <xf numFmtId="44" fontId="7" fillId="0" borderId="0" xfId="2" applyFont="1" applyBorder="1" applyAlignment="1" applyProtection="1">
      <alignment horizontal="right"/>
      <protection hidden="1"/>
    </xf>
    <xf numFmtId="166" fontId="22" fillId="0" borderId="0" xfId="2" applyNumberFormat="1" applyFont="1" applyFill="1" applyBorder="1" applyProtection="1">
      <protection hidden="1"/>
    </xf>
    <xf numFmtId="44" fontId="23" fillId="0" borderId="43" xfId="2" applyFont="1" applyBorder="1" applyAlignment="1" applyProtection="1">
      <alignment horizontal="right"/>
      <protection hidden="1"/>
    </xf>
    <xf numFmtId="44" fontId="7" fillId="0" borderId="43" xfId="2" applyFont="1" applyBorder="1" applyAlignment="1" applyProtection="1">
      <alignment horizontal="right"/>
      <protection hidden="1"/>
    </xf>
    <xf numFmtId="166" fontId="22" fillId="0" borderId="43" xfId="2" applyNumberFormat="1" applyFont="1" applyFill="1" applyBorder="1" applyProtection="1">
      <protection hidden="1"/>
    </xf>
    <xf numFmtId="0" fontId="8" fillId="0" borderId="50" xfId="0" applyFont="1" applyBorder="1" applyAlignment="1" applyProtection="1">
      <alignment horizontal="right"/>
      <protection hidden="1"/>
    </xf>
    <xf numFmtId="0" fontId="8" fillId="0" borderId="54" xfId="0" applyFont="1" applyBorder="1" applyAlignment="1" applyProtection="1">
      <alignment horizontal="right" vertical="center"/>
      <protection hidden="1"/>
    </xf>
    <xf numFmtId="166" fontId="8" fillId="0" borderId="60" xfId="2" applyNumberFormat="1" applyFont="1" applyBorder="1" applyProtection="1">
      <protection hidden="1"/>
    </xf>
    <xf numFmtId="0" fontId="2" fillId="0" borderId="43" xfId="0" applyFont="1" applyFill="1" applyBorder="1" applyAlignment="1" applyProtection="1">
      <alignment horizontal="right"/>
      <protection hidden="1"/>
    </xf>
    <xf numFmtId="166" fontId="2" fillId="0" borderId="59" xfId="2" applyNumberFormat="1" applyFont="1" applyFill="1" applyBorder="1" applyProtection="1">
      <protection hidden="1"/>
    </xf>
    <xf numFmtId="166" fontId="2" fillId="0" borderId="43" xfId="2" applyNumberFormat="1" applyFont="1" applyFill="1" applyBorder="1" applyProtection="1">
      <protection hidden="1"/>
    </xf>
    <xf numFmtId="166" fontId="2" fillId="0" borderId="56" xfId="2" applyNumberFormat="1" applyFont="1" applyBorder="1" applyProtection="1">
      <protection hidden="1"/>
    </xf>
    <xf numFmtId="166" fontId="8" fillId="0" borderId="39" xfId="0" applyNumberFormat="1" applyFont="1" applyBorder="1" applyProtection="1">
      <protection hidden="1"/>
    </xf>
    <xf numFmtId="166" fontId="8" fillId="0" borderId="17" xfId="2" applyNumberFormat="1" applyFont="1" applyBorder="1" applyProtection="1">
      <protection hidden="1"/>
    </xf>
    <xf numFmtId="166" fontId="8" fillId="0" borderId="53" xfId="2" applyNumberFormat="1" applyFont="1" applyBorder="1" applyProtection="1">
      <protection hidden="1"/>
    </xf>
    <xf numFmtId="0" fontId="8" fillId="0" borderId="16" xfId="0" applyFont="1" applyBorder="1" applyProtection="1">
      <protection hidden="1"/>
    </xf>
    <xf numFmtId="164" fontId="8" fillId="0" borderId="0" xfId="0" applyNumberFormat="1" applyFont="1" applyProtection="1">
      <protection hidden="1"/>
    </xf>
    <xf numFmtId="2" fontId="8" fillId="0" borderId="0" xfId="0" applyNumberFormat="1" applyFont="1" applyProtection="1">
      <protection hidden="1"/>
    </xf>
    <xf numFmtId="0" fontId="0" fillId="0" borderId="0" xfId="0" applyProtection="1">
      <protection locked="0"/>
    </xf>
    <xf numFmtId="0" fontId="1" fillId="0" borderId="0" xfId="0" applyFont="1" applyAlignment="1">
      <alignment horizontal="center"/>
    </xf>
    <xf numFmtId="0" fontId="8" fillId="0" borderId="0" xfId="0" applyFont="1" applyBorder="1" applyAlignment="1" applyProtection="1">
      <alignment horizontal="right"/>
      <protection hidden="1"/>
    </xf>
    <xf numFmtId="166" fontId="8" fillId="0" borderId="0" xfId="2" applyNumberFormat="1" applyFont="1" applyFill="1" applyBorder="1" applyProtection="1">
      <protection hidden="1"/>
    </xf>
    <xf numFmtId="0" fontId="1" fillId="0" borderId="0" xfId="0" applyFont="1" applyBorder="1" applyAlignment="1" applyProtection="1">
      <alignment horizontal="right"/>
      <protection hidden="1"/>
    </xf>
    <xf numFmtId="164" fontId="21" fillId="0" borderId="0" xfId="0" applyNumberFormat="1" applyFont="1" applyAlignment="1" applyProtection="1">
      <alignment horizontal="right"/>
      <protection hidden="1"/>
    </xf>
    <xf numFmtId="2" fontId="8" fillId="0" borderId="56" xfId="0" applyNumberFormat="1" applyFont="1" applyFill="1" applyBorder="1" applyAlignment="1" applyProtection="1">
      <alignment horizontal="right"/>
      <protection hidden="1"/>
    </xf>
    <xf numFmtId="2" fontId="8" fillId="0" borderId="57" xfId="0" applyNumberFormat="1" applyFont="1" applyFill="1" applyBorder="1" applyAlignment="1" applyProtection="1">
      <alignment horizontal="right"/>
      <protection hidden="1"/>
    </xf>
    <xf numFmtId="2" fontId="8" fillId="0" borderId="56" xfId="0" applyNumberFormat="1" applyFont="1" applyBorder="1" applyAlignment="1" applyProtection="1">
      <alignment horizontal="right"/>
      <protection hidden="1"/>
    </xf>
    <xf numFmtId="166" fontId="8" fillId="0" borderId="56" xfId="2" applyNumberFormat="1" applyFont="1" applyFill="1" applyBorder="1" applyAlignment="1" applyProtection="1">
      <alignment horizontal="right"/>
      <protection hidden="1"/>
    </xf>
    <xf numFmtId="166" fontId="8" fillId="0" borderId="57" xfId="2" applyNumberFormat="1" applyFont="1" applyFill="1" applyBorder="1" applyAlignment="1" applyProtection="1">
      <alignment horizontal="right"/>
      <protection hidden="1"/>
    </xf>
    <xf numFmtId="166" fontId="8" fillId="0" borderId="58" xfId="2" applyNumberFormat="1" applyFont="1" applyFill="1" applyBorder="1" applyAlignment="1" applyProtection="1">
      <alignment horizontal="right"/>
      <protection hidden="1"/>
    </xf>
    <xf numFmtId="166" fontId="8" fillId="0" borderId="48" xfId="2" applyNumberFormat="1" applyFont="1" applyFill="1" applyBorder="1" applyAlignment="1" applyProtection="1">
      <alignment horizontal="right"/>
      <protection hidden="1"/>
    </xf>
    <xf numFmtId="166" fontId="8" fillId="0" borderId="29" xfId="2" applyNumberFormat="1" applyFont="1" applyFill="1" applyBorder="1" applyAlignment="1" applyProtection="1">
      <alignment horizontal="right"/>
      <protection hidden="1"/>
    </xf>
    <xf numFmtId="166" fontId="8" fillId="0" borderId="19" xfId="2" applyNumberFormat="1" applyFont="1" applyFill="1" applyBorder="1" applyAlignment="1" applyProtection="1">
      <alignment horizontal="right"/>
      <protection hidden="1"/>
    </xf>
    <xf numFmtId="166" fontId="8" fillId="0" borderId="58" xfId="2" applyNumberFormat="1" applyFont="1" applyBorder="1" applyAlignment="1" applyProtection="1">
      <alignment horizontal="right"/>
      <protection hidden="1"/>
    </xf>
    <xf numFmtId="166" fontId="8" fillId="0" borderId="29" xfId="2" applyNumberFormat="1" applyFont="1" applyBorder="1" applyAlignment="1" applyProtection="1">
      <alignment horizontal="right"/>
      <protection hidden="1"/>
    </xf>
    <xf numFmtId="166" fontId="8" fillId="0" borderId="56" xfId="2" applyNumberFormat="1" applyFont="1" applyBorder="1" applyAlignment="1" applyProtection="1">
      <alignment horizontal="right"/>
      <protection hidden="1"/>
    </xf>
    <xf numFmtId="166" fontId="8" fillId="0" borderId="30" xfId="0" applyNumberFormat="1" applyFont="1" applyBorder="1" applyAlignment="1" applyProtection="1">
      <alignment horizontal="right"/>
      <protection hidden="1"/>
    </xf>
    <xf numFmtId="166" fontId="8" fillId="0" borderId="22" xfId="0" applyNumberFormat="1" applyFont="1" applyBorder="1" applyAlignment="1" applyProtection="1">
      <alignment horizontal="right"/>
      <protection hidden="1"/>
    </xf>
    <xf numFmtId="0" fontId="1" fillId="0" borderId="0" xfId="0" applyFont="1" applyProtection="1">
      <protection hidden="1"/>
    </xf>
    <xf numFmtId="0" fontId="19" fillId="2" borderId="0" xfId="0" applyFont="1" applyFill="1" applyProtection="1">
      <protection hidden="1"/>
    </xf>
    <xf numFmtId="0" fontId="2" fillId="0" borderId="0" xfId="0" applyFont="1" applyAlignment="1" applyProtection="1">
      <alignment horizontal="center"/>
      <protection hidden="1"/>
    </xf>
    <xf numFmtId="0" fontId="2" fillId="0" borderId="0" xfId="0" applyFont="1" applyAlignment="1" applyProtection="1">
      <alignment horizontal="center"/>
      <protection hidden="1"/>
    </xf>
    <xf numFmtId="0" fontId="2" fillId="0" borderId="0" xfId="0" applyFont="1" applyAlignment="1" applyProtection="1">
      <alignment horizontal="center"/>
      <protection hidden="1"/>
    </xf>
    <xf numFmtId="0" fontId="28" fillId="0" borderId="0" xfId="0" applyFont="1" applyProtection="1">
      <protection hidden="1"/>
    </xf>
    <xf numFmtId="0" fontId="29" fillId="0" borderId="0" xfId="0" applyFont="1" applyProtection="1">
      <protection locked="0" hidden="1"/>
    </xf>
    <xf numFmtId="0" fontId="28" fillId="0" borderId="0" xfId="0" applyFont="1" applyAlignment="1" applyProtection="1">
      <alignment horizontal="center"/>
      <protection hidden="1"/>
    </xf>
    <xf numFmtId="0" fontId="28" fillId="0" borderId="0" xfId="0" applyFont="1" applyAlignment="1" applyProtection="1">
      <alignment horizontal="right"/>
      <protection hidden="1"/>
    </xf>
    <xf numFmtId="0" fontId="2" fillId="2" borderId="0" xfId="0" applyFont="1" applyFill="1" applyAlignment="1" applyProtection="1">
      <alignment horizontal="left"/>
      <protection locked="0"/>
    </xf>
    <xf numFmtId="171" fontId="2" fillId="2" borderId="0" xfId="0" applyNumberFormat="1" applyFont="1" applyFill="1" applyAlignment="1" applyProtection="1">
      <alignment horizontal="left"/>
      <protection locked="0"/>
    </xf>
    <xf numFmtId="0" fontId="14" fillId="0" borderId="0" xfId="0" applyFont="1" applyAlignment="1" applyProtection="1">
      <alignment horizontal="center"/>
      <protection hidden="1"/>
    </xf>
    <xf numFmtId="0" fontId="2" fillId="0" borderId="0" xfId="0" applyFont="1" applyBorder="1" applyAlignment="1" applyProtection="1">
      <alignment horizontal="center" wrapText="1"/>
      <protection hidden="1"/>
    </xf>
    <xf numFmtId="0" fontId="2" fillId="0" borderId="25" xfId="0" applyFont="1" applyBorder="1" applyAlignment="1" applyProtection="1">
      <alignment horizontal="center" wrapText="1"/>
      <protection hidden="1"/>
    </xf>
    <xf numFmtId="0" fontId="4" fillId="0" borderId="0" xfId="0" applyFont="1" applyAlignment="1" applyProtection="1">
      <alignment horizontal="center" vertical="center"/>
      <protection hidden="1"/>
    </xf>
    <xf numFmtId="0" fontId="3" fillId="0" borderId="21" xfId="0" applyFont="1" applyBorder="1" applyAlignment="1" applyProtection="1">
      <alignment horizontal="center"/>
      <protection hidden="1"/>
    </xf>
    <xf numFmtId="0" fontId="2" fillId="0" borderId="46" xfId="0" applyFont="1" applyBorder="1" applyAlignment="1" applyProtection="1">
      <alignment horizontal="center"/>
      <protection hidden="1"/>
    </xf>
    <xf numFmtId="0" fontId="2" fillId="0" borderId="47" xfId="0" applyFont="1" applyBorder="1" applyAlignment="1" applyProtection="1">
      <alignment horizontal="center"/>
      <protection hidden="1"/>
    </xf>
    <xf numFmtId="0" fontId="2" fillId="0" borderId="48" xfId="0" applyFont="1" applyBorder="1" applyAlignment="1" applyProtection="1">
      <alignment horizontal="center"/>
      <protection hidden="1"/>
    </xf>
    <xf numFmtId="169" fontId="20" fillId="0" borderId="0" xfId="0" applyNumberFormat="1" applyFont="1" applyAlignment="1" applyProtection="1">
      <alignment horizontal="center" wrapText="1"/>
      <protection hidden="1"/>
    </xf>
    <xf numFmtId="0" fontId="2" fillId="0" borderId="21" xfId="0" applyFont="1" applyBorder="1" applyAlignment="1" applyProtection="1">
      <alignment horizontal="center" wrapText="1"/>
      <protection hidden="1"/>
    </xf>
    <xf numFmtId="2" fontId="2" fillId="8" borderId="16" xfId="0" applyNumberFormat="1" applyFont="1" applyFill="1" applyBorder="1" applyAlignment="1" applyProtection="1">
      <alignment horizontal="center"/>
      <protection hidden="1"/>
    </xf>
    <xf numFmtId="165" fontId="2" fillId="4" borderId="0" xfId="0" applyNumberFormat="1" applyFont="1" applyFill="1" applyAlignment="1" applyProtection="1">
      <alignment horizontal="center"/>
      <protection hidden="1"/>
    </xf>
    <xf numFmtId="0" fontId="18" fillId="0" borderId="0" xfId="0" applyFont="1" applyBorder="1" applyAlignment="1">
      <alignment horizontal="center"/>
    </xf>
    <xf numFmtId="172" fontId="2" fillId="7" borderId="0" xfId="0" applyNumberFormat="1" applyFont="1" applyFill="1" applyBorder="1" applyAlignment="1" applyProtection="1">
      <alignment horizontal="center"/>
      <protection locked="0"/>
    </xf>
    <xf numFmtId="0" fontId="8" fillId="0" borderId="45" xfId="0" applyFont="1" applyBorder="1" applyAlignment="1">
      <alignment horizontal="center"/>
    </xf>
    <xf numFmtId="0" fontId="8" fillId="0" borderId="37"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36" xfId="0" applyFont="1" applyBorder="1" applyAlignment="1">
      <alignment horizontal="center"/>
    </xf>
    <xf numFmtId="2" fontId="8" fillId="0" borderId="45" xfId="0" applyNumberFormat="1" applyFont="1" applyBorder="1" applyAlignment="1" applyProtection="1">
      <alignment horizontal="center"/>
      <protection locked="0"/>
    </xf>
    <xf numFmtId="2" fontId="8" fillId="0" borderId="36" xfId="0" applyNumberFormat="1" applyFont="1" applyBorder="1" applyAlignment="1" applyProtection="1">
      <alignment horizontal="center"/>
      <protection locked="0"/>
    </xf>
    <xf numFmtId="0" fontId="8" fillId="0" borderId="45" xfId="0" applyNumberFormat="1" applyFont="1" applyBorder="1" applyAlignment="1">
      <alignment horizontal="center"/>
    </xf>
    <xf numFmtId="0" fontId="8" fillId="0" borderId="36" xfId="0" applyNumberFormat="1" applyFont="1" applyBorder="1" applyAlignment="1">
      <alignment horizontal="center"/>
    </xf>
    <xf numFmtId="0" fontId="8" fillId="0" borderId="37" xfId="0" applyNumberFormat="1" applyFont="1" applyBorder="1" applyAlignment="1">
      <alignment horizontal="center"/>
    </xf>
    <xf numFmtId="0" fontId="2" fillId="7" borderId="0" xfId="0" applyFont="1" applyFill="1" applyBorder="1" applyAlignment="1" applyProtection="1">
      <alignment horizontal="center"/>
      <protection locked="0"/>
    </xf>
    <xf numFmtId="0" fontId="2" fillId="0" borderId="43" xfId="0" applyFont="1" applyBorder="1" applyAlignment="1">
      <alignment horizontal="right"/>
    </xf>
    <xf numFmtId="0" fontId="2" fillId="0" borderId="44" xfId="0" applyFont="1" applyBorder="1" applyAlignment="1">
      <alignment horizontal="right"/>
    </xf>
    <xf numFmtId="0" fontId="0" fillId="0" borderId="45" xfId="0" applyBorder="1" applyAlignment="1">
      <alignment horizontal="center"/>
    </xf>
    <xf numFmtId="0" fontId="0" fillId="0" borderId="37" xfId="0" applyBorder="1" applyAlignment="1">
      <alignment horizontal="center"/>
    </xf>
    <xf numFmtId="2" fontId="8" fillId="0" borderId="0" xfId="0" applyNumberFormat="1" applyFont="1" applyBorder="1" applyAlignment="1" applyProtection="1">
      <alignment horizontal="right"/>
      <protection hidden="1"/>
    </xf>
    <xf numFmtId="2" fontId="8" fillId="0" borderId="19" xfId="0" applyNumberFormat="1" applyFont="1" applyBorder="1" applyAlignment="1" applyProtection="1">
      <alignment horizontal="right"/>
      <protection hidden="1"/>
    </xf>
    <xf numFmtId="2" fontId="8" fillId="0" borderId="43" xfId="0" applyNumberFormat="1" applyFont="1" applyBorder="1" applyAlignment="1" applyProtection="1">
      <alignment horizontal="right"/>
      <protection hidden="1"/>
    </xf>
    <xf numFmtId="2" fontId="8" fillId="0" borderId="54" xfId="0" applyNumberFormat="1" applyFont="1" applyBorder="1" applyAlignment="1" applyProtection="1">
      <alignment horizontal="right"/>
      <protection hidden="1"/>
    </xf>
    <xf numFmtId="44" fontId="24" fillId="0" borderId="39" xfId="2" applyFont="1" applyFill="1" applyBorder="1" applyAlignment="1" applyProtection="1">
      <alignment horizontal="right"/>
      <protection hidden="1"/>
    </xf>
    <xf numFmtId="44" fontId="24" fillId="0" borderId="50" xfId="2" applyFont="1" applyFill="1" applyBorder="1" applyAlignment="1" applyProtection="1">
      <alignment horizontal="right"/>
      <protection hidden="1"/>
    </xf>
    <xf numFmtId="0" fontId="2" fillId="0" borderId="0" xfId="0" applyFont="1" applyAlignment="1" applyProtection="1">
      <alignment horizontal="center"/>
      <protection hidden="1"/>
    </xf>
    <xf numFmtId="0" fontId="8" fillId="0" borderId="0" xfId="0" applyFont="1" applyAlignment="1" applyProtection="1">
      <alignment horizontal="center"/>
      <protection hidden="1"/>
    </xf>
    <xf numFmtId="14" fontId="8" fillId="0" borderId="0" xfId="0" applyNumberFormat="1" applyFont="1" applyAlignment="1" applyProtection="1">
      <alignment horizontal="center"/>
      <protection hidden="1"/>
    </xf>
    <xf numFmtId="0" fontId="25" fillId="0" borderId="21" xfId="0" applyFont="1" applyBorder="1" applyAlignment="1" applyProtection="1">
      <alignment horizontal="center"/>
      <protection hidden="1"/>
    </xf>
    <xf numFmtId="2" fontId="24" fillId="0" borderId="0" xfId="0" applyNumberFormat="1" applyFont="1" applyFill="1" applyAlignment="1" applyProtection="1">
      <alignment horizontal="right"/>
      <protection hidden="1"/>
    </xf>
    <xf numFmtId="2" fontId="24" fillId="0" borderId="19" xfId="0" applyNumberFormat="1" applyFont="1" applyFill="1" applyBorder="1" applyAlignment="1" applyProtection="1">
      <alignment horizontal="right"/>
      <protection hidden="1"/>
    </xf>
    <xf numFmtId="44" fontId="7" fillId="0" borderId="51" xfId="2" applyFont="1" applyBorder="1" applyAlignment="1" applyProtection="1">
      <alignment horizontal="right"/>
      <protection hidden="1"/>
    </xf>
    <xf numFmtId="44" fontId="7" fillId="0" borderId="52" xfId="2" applyFont="1" applyBorder="1" applyAlignment="1" applyProtection="1">
      <alignment horizontal="right"/>
      <protection hidden="1"/>
    </xf>
  </cellXfs>
  <cellStyles count="3">
    <cellStyle name="Currency" xfId="2" builtinId="4"/>
    <cellStyle name="Normal" xfId="0" builtinId="0"/>
    <cellStyle name="Percent" xfId="1" builtinId="5"/>
  </cellStyles>
  <dxfs count="7">
    <dxf>
      <font>
        <color theme="0"/>
      </font>
    </dxf>
    <dxf>
      <font>
        <color theme="0"/>
      </font>
    </dxf>
    <dxf>
      <font>
        <color theme="0"/>
      </font>
      <numFmt numFmtId="2" formatCode="0.00"/>
      <fill>
        <patternFill patternType="none">
          <bgColor auto="1"/>
        </patternFill>
      </fill>
    </dxf>
    <dxf>
      <font>
        <color theme="0"/>
      </font>
      <numFmt numFmtId="2" formatCode="0.00"/>
      <fill>
        <patternFill patternType="none">
          <bgColor auto="1"/>
        </patternFill>
      </fill>
    </dxf>
    <dxf>
      <font>
        <color theme="0"/>
      </font>
      <numFmt numFmtId="2" formatCode="0.00"/>
      <fill>
        <patternFill patternType="none">
          <bgColor auto="1"/>
        </patternFill>
      </fill>
    </dxf>
    <dxf>
      <fill>
        <patternFill>
          <bgColor indexed="9"/>
        </patternFill>
      </fill>
    </dxf>
    <dxf>
      <fill>
        <patternFill>
          <bgColor indexed="43"/>
        </patternFill>
      </fill>
    </dxf>
  </dxfs>
  <tableStyles count="0" defaultTableStyle="TableStyleMedium9" defaultPivotStyle="PivotStyleLight16"/>
  <colors>
    <mruColors>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9" dropStyle="combo" dx="16" fmlaLink="$B18" fmlaRange="$B$4:$B$12" sel="1" val="0"/>
</file>

<file path=xl/ctrlProps/ctrlProp10.xml><?xml version="1.0" encoding="utf-8"?>
<formControlPr xmlns="http://schemas.microsoft.com/office/spreadsheetml/2009/9/main" objectType="Drop" dropLines="9" dropStyle="combo" dx="16" fmlaLink="$B31" fmlaRange="$B$4:$B$12" sel="1" val="0"/>
</file>

<file path=xl/ctrlProps/ctrlProp100.xml><?xml version="1.0" encoding="utf-8"?>
<formControlPr xmlns="http://schemas.microsoft.com/office/spreadsheetml/2009/9/main" objectType="CheckBox" fmlaLink="$K20" lockText="1"/>
</file>

<file path=xl/ctrlProps/ctrlProp101.xml><?xml version="1.0" encoding="utf-8"?>
<formControlPr xmlns="http://schemas.microsoft.com/office/spreadsheetml/2009/9/main" objectType="CheckBox" fmlaLink="$J21" lockText="1"/>
</file>

<file path=xl/ctrlProps/ctrlProp102.xml><?xml version="1.0" encoding="utf-8"?>
<formControlPr xmlns="http://schemas.microsoft.com/office/spreadsheetml/2009/9/main" objectType="CheckBox" fmlaLink="$K21" lockText="1"/>
</file>

<file path=xl/ctrlProps/ctrlProp103.xml><?xml version="1.0" encoding="utf-8"?>
<formControlPr xmlns="http://schemas.microsoft.com/office/spreadsheetml/2009/9/main" objectType="CheckBox" fmlaLink="$J22" lockText="1"/>
</file>

<file path=xl/ctrlProps/ctrlProp104.xml><?xml version="1.0" encoding="utf-8"?>
<formControlPr xmlns="http://schemas.microsoft.com/office/spreadsheetml/2009/9/main" objectType="CheckBox" fmlaLink="$K22" lockText="1"/>
</file>

<file path=xl/ctrlProps/ctrlProp105.xml><?xml version="1.0" encoding="utf-8"?>
<formControlPr xmlns="http://schemas.microsoft.com/office/spreadsheetml/2009/9/main" objectType="Drop" dropLines="4" dropStyle="combo" dx="16" fmlaLink="$C$73" fmlaRange="$C$69:$C$72" sel="1" val="0"/>
</file>

<file path=xl/ctrlProps/ctrlProp106.xml><?xml version="1.0" encoding="utf-8"?>
<formControlPr xmlns="http://schemas.microsoft.com/office/spreadsheetml/2009/9/main" objectType="Drop" dropLines="4" dropStyle="combo" dx="16" fmlaLink="$D$73" fmlaRange="$C$69:$C$72" sel="1" val="0"/>
</file>

<file path=xl/ctrlProps/ctrlProp107.xml><?xml version="1.0" encoding="utf-8"?>
<formControlPr xmlns="http://schemas.microsoft.com/office/spreadsheetml/2009/9/main" objectType="Drop" dropLines="4" dropStyle="combo" dx="16" fmlaLink="$E$73" fmlaRange="$C$69:$C$72" sel="1" val="0"/>
</file>

<file path=xl/ctrlProps/ctrlProp108.xml><?xml version="1.0" encoding="utf-8"?>
<formControlPr xmlns="http://schemas.microsoft.com/office/spreadsheetml/2009/9/main" objectType="Drop" dropLines="4" dropStyle="combo" dx="16" fmlaLink="$F$73" fmlaRange="$C$69:$C$72" sel="1" val="0"/>
</file>

<file path=xl/ctrlProps/ctrlProp109.xml><?xml version="1.0" encoding="utf-8"?>
<formControlPr xmlns="http://schemas.microsoft.com/office/spreadsheetml/2009/9/main" objectType="Drop" dropLines="4" dropStyle="combo" dx="16" fmlaLink="$G$73" fmlaRange="$C$69:$C$72" sel="1" val="0"/>
</file>

<file path=xl/ctrlProps/ctrlProp11.xml><?xml version="1.0" encoding="utf-8"?>
<formControlPr xmlns="http://schemas.microsoft.com/office/spreadsheetml/2009/9/main" objectType="Drop" dropLines="9" dropStyle="combo" dx="16" fmlaLink="$B32" fmlaRange="$B$4:$B$12" sel="1" val="0"/>
</file>

<file path=xl/ctrlProps/ctrlProp110.xml><?xml version="1.0" encoding="utf-8"?>
<formControlPr xmlns="http://schemas.microsoft.com/office/spreadsheetml/2009/9/main" objectType="Drop" dropLines="4" dropStyle="combo" dx="16" fmlaLink="$H$73" fmlaRange="$C$69:$C$72" sel="1" val="0"/>
</file>

<file path=xl/ctrlProps/ctrlProp111.xml><?xml version="1.0" encoding="utf-8"?>
<formControlPr xmlns="http://schemas.microsoft.com/office/spreadsheetml/2009/9/main" objectType="Drop" dropLines="4" dropStyle="combo" dx="16" fmlaLink="$I$73" fmlaRange="$C$69:$C$72" sel="1" val="0"/>
</file>

<file path=xl/ctrlProps/ctrlProp112.xml><?xml version="1.0" encoding="utf-8"?>
<formControlPr xmlns="http://schemas.microsoft.com/office/spreadsheetml/2009/9/main" objectType="Drop" dropLines="4" dropStyle="combo" dx="16" fmlaLink="$J$73" fmlaRange="$C$69:$C$72" sel="1" val="0"/>
</file>

<file path=xl/ctrlProps/ctrlProp113.xml><?xml version="1.0" encoding="utf-8"?>
<formControlPr xmlns="http://schemas.microsoft.com/office/spreadsheetml/2009/9/main" objectType="Drop" dropLines="4" dropStyle="combo" dx="16" fmlaLink="$K$73" fmlaRange="$C$69:$C$72" sel="1" val="0"/>
</file>

<file path=xl/ctrlProps/ctrlProp114.xml><?xml version="1.0" encoding="utf-8"?>
<formControlPr xmlns="http://schemas.microsoft.com/office/spreadsheetml/2009/9/main" objectType="Drop" dropLines="4" dropStyle="combo" dx="16" fmlaLink="$L$73" fmlaRange="$C$69:$C$72" sel="1" val="0"/>
</file>

<file path=xl/ctrlProps/ctrlProp115.xml><?xml version="1.0" encoding="utf-8"?>
<formControlPr xmlns="http://schemas.microsoft.com/office/spreadsheetml/2009/9/main" objectType="Drop" dropLines="11" dropStyle="combo" dx="16" fmlaLink="$I$3" fmlaRange="$L$3:$L$13" sel="1" val="0"/>
</file>

<file path=xl/ctrlProps/ctrlProp116.xml><?xml version="1.0" encoding="utf-8"?>
<formControlPr xmlns="http://schemas.microsoft.com/office/spreadsheetml/2009/9/main" objectType="Drop" dropLines="11" dropStyle="combo" dx="16" fmlaLink="$I$4" fmlaRange="$L$3:$L$13" sel="1" val="0"/>
</file>

<file path=xl/ctrlProps/ctrlProp117.xml><?xml version="1.0" encoding="utf-8"?>
<formControlPr xmlns="http://schemas.microsoft.com/office/spreadsheetml/2009/9/main" objectType="Drop" dropLines="11" dropStyle="combo" dx="16" fmlaLink="$I$5" fmlaRange="$L$3:$L$13" sel="1" val="0"/>
</file>

<file path=xl/ctrlProps/ctrlProp118.xml><?xml version="1.0" encoding="utf-8"?>
<formControlPr xmlns="http://schemas.microsoft.com/office/spreadsheetml/2009/9/main" objectType="Drop" dropLines="11" dropStyle="combo" dx="16" fmlaLink="$I$6" fmlaRange="$L$3:$L$13" sel="1" val="0"/>
</file>

<file path=xl/ctrlProps/ctrlProp119.xml><?xml version="1.0" encoding="utf-8"?>
<formControlPr xmlns="http://schemas.microsoft.com/office/spreadsheetml/2009/9/main" objectType="Drop" dropLines="11" dropStyle="combo" dx="16" fmlaLink="$I$7" fmlaRange="$L$3:$L$13" sel="1" val="0"/>
</file>

<file path=xl/ctrlProps/ctrlProp12.xml><?xml version="1.0" encoding="utf-8"?>
<formControlPr xmlns="http://schemas.microsoft.com/office/spreadsheetml/2009/9/main" objectType="Drop" dropLines="9" dropStyle="combo" dx="16" fmlaLink="$B33" fmlaRange="$B$4:$B$12" sel="0" val="0"/>
</file>

<file path=xl/ctrlProps/ctrlProp120.xml><?xml version="1.0" encoding="utf-8"?>
<formControlPr xmlns="http://schemas.microsoft.com/office/spreadsheetml/2009/9/main" objectType="Drop" dropLines="11" dropStyle="combo" dx="16" fmlaLink="$I$8" fmlaRange="$L$3:$L$13" sel="1" val="0"/>
</file>

<file path=xl/ctrlProps/ctrlProp121.xml><?xml version="1.0" encoding="utf-8"?>
<formControlPr xmlns="http://schemas.microsoft.com/office/spreadsheetml/2009/9/main" objectType="Drop" dropLines="11" dropStyle="combo" dx="16" fmlaLink="$I$9" fmlaRange="$L$3:$L$13" sel="1" val="0"/>
</file>

<file path=xl/ctrlProps/ctrlProp122.xml><?xml version="1.0" encoding="utf-8"?>
<formControlPr xmlns="http://schemas.microsoft.com/office/spreadsheetml/2009/9/main" objectType="Drop" dropLines="11" dropStyle="combo" dx="16" fmlaLink="$I$10" fmlaRange="$L$3:$L$13" sel="1" val="0"/>
</file>

<file path=xl/ctrlProps/ctrlProp123.xml><?xml version="1.0" encoding="utf-8"?>
<formControlPr xmlns="http://schemas.microsoft.com/office/spreadsheetml/2009/9/main" objectType="Drop" dropLines="11" dropStyle="combo" dx="16" fmlaLink="$I$11" fmlaRange="$L$3:$L$13" sel="1" val="0"/>
</file>

<file path=xl/ctrlProps/ctrlProp124.xml><?xml version="1.0" encoding="utf-8"?>
<formControlPr xmlns="http://schemas.microsoft.com/office/spreadsheetml/2009/9/main" objectType="Drop" dropLines="11" dropStyle="combo" dx="16" fmlaLink="$I$12" fmlaRange="$L$3:$L$13" sel="1" val="0"/>
</file>

<file path=xl/ctrlProps/ctrlProp125.xml><?xml version="1.0" encoding="utf-8"?>
<formControlPr xmlns="http://schemas.microsoft.com/office/spreadsheetml/2009/9/main" objectType="Drop" dropLines="11" dropStyle="combo" dx="16" fmlaLink="$I$13" fmlaRange="$L$3:$L$13" sel="1" val="0"/>
</file>

<file path=xl/ctrlProps/ctrlProp126.xml><?xml version="1.0" encoding="utf-8"?>
<formControlPr xmlns="http://schemas.microsoft.com/office/spreadsheetml/2009/9/main" objectType="Drop" dropLines="11" dropStyle="combo" dx="16" fmlaLink="$I$14" fmlaRange="$L$3:$L$13" sel="1" val="0"/>
</file>

<file path=xl/ctrlProps/ctrlProp127.xml><?xml version="1.0" encoding="utf-8"?>
<formControlPr xmlns="http://schemas.microsoft.com/office/spreadsheetml/2009/9/main" objectType="Drop" dropLines="11" dropStyle="combo" dx="16" fmlaLink="$I$15" fmlaRange="$L$3:$L$13" sel="1" val="0"/>
</file>

<file path=xl/ctrlProps/ctrlProp128.xml><?xml version="1.0" encoding="utf-8"?>
<formControlPr xmlns="http://schemas.microsoft.com/office/spreadsheetml/2009/9/main" objectType="Drop" dropLines="11" dropStyle="combo" dx="16" fmlaLink="$I$16" fmlaRange="$L$3:$L$13" sel="1" val="0"/>
</file>

<file path=xl/ctrlProps/ctrlProp129.xml><?xml version="1.0" encoding="utf-8"?>
<formControlPr xmlns="http://schemas.microsoft.com/office/spreadsheetml/2009/9/main" objectType="Drop" dropLines="11" dropStyle="combo" dx="16" fmlaLink="$I$17" fmlaRange="$L$3:$L$13" sel="1" val="0"/>
</file>

<file path=xl/ctrlProps/ctrlProp13.xml><?xml version="1.0" encoding="utf-8"?>
<formControlPr xmlns="http://schemas.microsoft.com/office/spreadsheetml/2009/9/main" objectType="Drop" dropLines="9" dropStyle="combo" dx="16" fmlaLink="$B34" fmlaRange="$B$4:$B$12" sel="1" val="0"/>
</file>

<file path=xl/ctrlProps/ctrlProp130.xml><?xml version="1.0" encoding="utf-8"?>
<formControlPr xmlns="http://schemas.microsoft.com/office/spreadsheetml/2009/9/main" objectType="Drop" dropLines="11" dropStyle="combo" dx="16" fmlaLink="$I$18" fmlaRange="$L$3:$L$13" sel="1" val="0"/>
</file>

<file path=xl/ctrlProps/ctrlProp131.xml><?xml version="1.0" encoding="utf-8"?>
<formControlPr xmlns="http://schemas.microsoft.com/office/spreadsheetml/2009/9/main" objectType="Drop" dropLines="11" dropStyle="combo" dx="16" fmlaLink="$I$19" fmlaRange="$L$3:$L$13" sel="1" val="0"/>
</file>

<file path=xl/ctrlProps/ctrlProp132.xml><?xml version="1.0" encoding="utf-8"?>
<formControlPr xmlns="http://schemas.microsoft.com/office/spreadsheetml/2009/9/main" objectType="Drop" dropLines="11" dropStyle="combo" dx="16" fmlaLink="$I$20" fmlaRange="$L$3:$L$13" sel="1" val="0"/>
</file>

<file path=xl/ctrlProps/ctrlProp133.xml><?xml version="1.0" encoding="utf-8"?>
<formControlPr xmlns="http://schemas.microsoft.com/office/spreadsheetml/2009/9/main" objectType="Drop" dropLines="11" dropStyle="combo" dx="16" fmlaLink="$I$21" fmlaRange="$L$3:$L$13" sel="1" val="0"/>
</file>

<file path=xl/ctrlProps/ctrlProp134.xml><?xml version="1.0" encoding="utf-8"?>
<formControlPr xmlns="http://schemas.microsoft.com/office/spreadsheetml/2009/9/main" objectType="Drop" dropLines="11" dropStyle="combo" dx="16" fmlaLink="$I$22" fmlaRange="$L$3:$L$13" sel="1" val="0"/>
</file>

<file path=xl/ctrlProps/ctrlProp135.xml><?xml version="1.0" encoding="utf-8"?>
<formControlPr xmlns="http://schemas.microsoft.com/office/spreadsheetml/2009/9/main" objectType="Drop" dropLines="21" dropStyle="combo" dx="16" fmlaLink="$A$6" fmlaRange="'FC Links'!$G$1:$G$21" sel="1" val="0"/>
</file>

<file path=xl/ctrlProps/ctrlProp136.xml><?xml version="1.0" encoding="utf-8"?>
<formControlPr xmlns="http://schemas.microsoft.com/office/spreadsheetml/2009/9/main" objectType="Drop" dropLines="21" dropStyle="combo" dx="16" fmlaLink="$A$7" fmlaRange="'FC Links'!$G$1:$G$21" sel="1" val="0"/>
</file>

<file path=xl/ctrlProps/ctrlProp137.xml><?xml version="1.0" encoding="utf-8"?>
<formControlPr xmlns="http://schemas.microsoft.com/office/spreadsheetml/2009/9/main" objectType="Drop" dropLines="21" dropStyle="combo" dx="16" fmlaLink="$A$8" fmlaRange="'FC Links'!$G$1:$G$21" sel="1" val="0"/>
</file>

<file path=xl/ctrlProps/ctrlProp138.xml><?xml version="1.0" encoding="utf-8"?>
<formControlPr xmlns="http://schemas.microsoft.com/office/spreadsheetml/2009/9/main" objectType="Drop" dropLines="21" dropStyle="combo" dx="16" fmlaLink="$A$9" fmlaRange="'FC Links'!$G$1:$G$21" sel="1" val="0"/>
</file>

<file path=xl/ctrlProps/ctrlProp139.xml><?xml version="1.0" encoding="utf-8"?>
<formControlPr xmlns="http://schemas.microsoft.com/office/spreadsheetml/2009/9/main" objectType="Drop" dropLines="21" dropStyle="combo" dx="16" fmlaLink="$A$10" fmlaRange="'FC Links'!$G$1:$G$21" sel="1" val="0"/>
</file>

<file path=xl/ctrlProps/ctrlProp14.xml><?xml version="1.0" encoding="utf-8"?>
<formControlPr xmlns="http://schemas.microsoft.com/office/spreadsheetml/2009/9/main" objectType="Drop" dropLines="9" dropStyle="combo" dx="16" fmlaLink="$B35" fmlaRange="$B$4:$B$12" sel="1" val="0"/>
</file>

<file path=xl/ctrlProps/ctrlProp140.xml><?xml version="1.0" encoding="utf-8"?>
<formControlPr xmlns="http://schemas.microsoft.com/office/spreadsheetml/2009/9/main" objectType="Drop" dropLines="12" dropStyle="combo" dx="16" fmlaLink="$C$4" fmlaRange="'FC Links'!$B$2:$B$13" sel="10" val="0"/>
</file>

<file path=xl/ctrlProps/ctrlProp141.xml><?xml version="1.0" encoding="utf-8"?>
<formControlPr xmlns="http://schemas.microsoft.com/office/spreadsheetml/2009/9/main" objectType="Drop" dropLines="4" dropStyle="combo" dx="16" fmlaLink="$C$73" fmlaRange="$C$69:$C$72" sel="1" val="0"/>
</file>

<file path=xl/ctrlProps/ctrlProp142.xml><?xml version="1.0" encoding="utf-8"?>
<formControlPr xmlns="http://schemas.microsoft.com/office/spreadsheetml/2009/9/main" objectType="Drop" dropLines="4" dropStyle="combo" dx="16" fmlaLink="$D$73" fmlaRange="$C$69:$C$72" sel="1" val="0"/>
</file>

<file path=xl/ctrlProps/ctrlProp143.xml><?xml version="1.0" encoding="utf-8"?>
<formControlPr xmlns="http://schemas.microsoft.com/office/spreadsheetml/2009/9/main" objectType="Drop" dropLines="4" dropStyle="combo" dx="16" fmlaLink="$E$73" fmlaRange="$C$69:$C$72" sel="1" val="0"/>
</file>

<file path=xl/ctrlProps/ctrlProp144.xml><?xml version="1.0" encoding="utf-8"?>
<formControlPr xmlns="http://schemas.microsoft.com/office/spreadsheetml/2009/9/main" objectType="Drop" dropLines="4" dropStyle="combo" dx="16" fmlaLink="$F$73" fmlaRange="$C$69:$C$72" sel="1" val="0"/>
</file>

<file path=xl/ctrlProps/ctrlProp145.xml><?xml version="1.0" encoding="utf-8"?>
<formControlPr xmlns="http://schemas.microsoft.com/office/spreadsheetml/2009/9/main" objectType="Drop" dropLines="4" dropStyle="combo" dx="16" fmlaLink="$G$73" fmlaRange="$C$69:$C$72" sel="1" val="0"/>
</file>

<file path=xl/ctrlProps/ctrlProp146.xml><?xml version="1.0" encoding="utf-8"?>
<formControlPr xmlns="http://schemas.microsoft.com/office/spreadsheetml/2009/9/main" objectType="Drop" dropLines="4" dropStyle="combo" dx="16" fmlaLink="$H$73" fmlaRange="$C$69:$C$72" sel="1" val="0"/>
</file>

<file path=xl/ctrlProps/ctrlProp147.xml><?xml version="1.0" encoding="utf-8"?>
<formControlPr xmlns="http://schemas.microsoft.com/office/spreadsheetml/2009/9/main" objectType="Drop" dropLines="4" dropStyle="combo" dx="16" fmlaLink="$I$73" fmlaRange="$C$69:$C$72" sel="1" val="0"/>
</file>

<file path=xl/ctrlProps/ctrlProp148.xml><?xml version="1.0" encoding="utf-8"?>
<formControlPr xmlns="http://schemas.microsoft.com/office/spreadsheetml/2009/9/main" objectType="Drop" dropLines="4" dropStyle="combo" dx="16" fmlaLink="$J$73" fmlaRange="$C$69:$C$72" sel="1" val="0"/>
</file>

<file path=xl/ctrlProps/ctrlProp149.xml><?xml version="1.0" encoding="utf-8"?>
<formControlPr xmlns="http://schemas.microsoft.com/office/spreadsheetml/2009/9/main" objectType="Drop" dropLines="4" dropStyle="combo" dx="16" fmlaLink="$K$73" fmlaRange="$C$69:$C$72" sel="1" val="0"/>
</file>

<file path=xl/ctrlProps/ctrlProp15.xml><?xml version="1.0" encoding="utf-8"?>
<formControlPr xmlns="http://schemas.microsoft.com/office/spreadsheetml/2009/9/main" objectType="Drop" dropLines="9" dropStyle="combo" dx="16" fmlaLink="$B36" fmlaRange="$B$4:$B$12" sel="1" val="0"/>
</file>

<file path=xl/ctrlProps/ctrlProp150.xml><?xml version="1.0" encoding="utf-8"?>
<formControlPr xmlns="http://schemas.microsoft.com/office/spreadsheetml/2009/9/main" objectType="Drop" dropLines="4" dropStyle="combo" dx="16" fmlaLink="$L$73" fmlaRange="$C$69:$C$72" sel="1" val="0"/>
</file>

<file path=xl/ctrlProps/ctrlProp16.xml><?xml version="1.0" encoding="utf-8"?>
<formControlPr xmlns="http://schemas.microsoft.com/office/spreadsheetml/2009/9/main" objectType="Drop" dropLines="9" dropStyle="combo" dx="16" fmlaLink="$B37" fmlaRange="$B$4:$B$12" sel="1" val="0"/>
</file>

<file path=xl/ctrlProps/ctrlProp17.xml><?xml version="1.0" encoding="utf-8"?>
<formControlPr xmlns="http://schemas.microsoft.com/office/spreadsheetml/2009/9/main" objectType="Drop" dropLines="9" dropStyle="combo" dx="16" fmlaLink="$B42" fmlaRange="$B$4:$B$12" sel="1" val="0"/>
</file>

<file path=xl/ctrlProps/ctrlProp18.xml><?xml version="1.0" encoding="utf-8"?>
<formControlPr xmlns="http://schemas.microsoft.com/office/spreadsheetml/2009/9/main" objectType="Drop" dropLines="9" dropStyle="combo" dx="16" fmlaLink="$B43" fmlaRange="$B$4:$B$12" sel="1" val="0"/>
</file>

<file path=xl/ctrlProps/ctrlProp19.xml><?xml version="1.0" encoding="utf-8"?>
<formControlPr xmlns="http://schemas.microsoft.com/office/spreadsheetml/2009/9/main" objectType="Drop" dropLines="9" dropStyle="combo" dx="16" fmlaLink="$B44" fmlaRange="$B$4:$B$12" sel="1" val="0"/>
</file>

<file path=xl/ctrlProps/ctrlProp2.xml><?xml version="1.0" encoding="utf-8"?>
<formControlPr xmlns="http://schemas.microsoft.com/office/spreadsheetml/2009/9/main" objectType="Drop" dropLines="9" dropStyle="combo" dx="16" fmlaLink="$B19" fmlaRange="$B$4:$B$12" sel="1" val="0"/>
</file>

<file path=xl/ctrlProps/ctrlProp20.xml><?xml version="1.0" encoding="utf-8"?>
<formControlPr xmlns="http://schemas.microsoft.com/office/spreadsheetml/2009/9/main" objectType="Drop" dropLines="9" dropStyle="combo" dx="16" fmlaLink="$B45" fmlaRange="$B$4:$B$12" sel="1" val="0"/>
</file>

<file path=xl/ctrlProps/ctrlProp21.xml><?xml version="1.0" encoding="utf-8"?>
<formControlPr xmlns="http://schemas.microsoft.com/office/spreadsheetml/2009/9/main" objectType="Drop" dropLines="9" dropStyle="combo" dx="16" fmlaLink="$B46" fmlaRange="$B$4:$B$12" sel="1" val="0"/>
</file>

<file path=xl/ctrlProps/ctrlProp22.xml><?xml version="1.0" encoding="utf-8"?>
<formControlPr xmlns="http://schemas.microsoft.com/office/spreadsheetml/2009/9/main" objectType="Drop" dropLines="9" dropStyle="combo" dx="16" fmlaLink="$B47" fmlaRange="$B$4:$B$12" sel="1" val="0"/>
</file>

<file path=xl/ctrlProps/ctrlProp23.xml><?xml version="1.0" encoding="utf-8"?>
<formControlPr xmlns="http://schemas.microsoft.com/office/spreadsheetml/2009/9/main" objectType="Drop" dropLines="9" dropStyle="combo" dx="16" fmlaLink="$B48" fmlaRange="$B$4:$B$12" sel="1" val="0"/>
</file>

<file path=xl/ctrlProps/ctrlProp24.xml><?xml version="1.0" encoding="utf-8"?>
<formControlPr xmlns="http://schemas.microsoft.com/office/spreadsheetml/2009/9/main" objectType="Drop" dropLines="9" dropStyle="combo" dx="16" fmlaLink="$B49" fmlaRange="$B$4:$B$12" sel="1" val="0"/>
</file>

<file path=xl/ctrlProps/ctrlProp25.xml><?xml version="1.0" encoding="utf-8"?>
<formControlPr xmlns="http://schemas.microsoft.com/office/spreadsheetml/2009/9/main" objectType="Drop" dropLines="9" dropStyle="combo" dx="16" fmlaLink="$B66" fmlaRange="$B$4:$B$12" sel="1" val="0"/>
</file>

<file path=xl/ctrlProps/ctrlProp26.xml><?xml version="1.0" encoding="utf-8"?>
<formControlPr xmlns="http://schemas.microsoft.com/office/spreadsheetml/2009/9/main" objectType="Drop" dropLines="9" dropStyle="combo" dx="16" fmlaLink="$B67" fmlaRange="$B$4:$B$12" sel="1" val="0"/>
</file>

<file path=xl/ctrlProps/ctrlProp27.xml><?xml version="1.0" encoding="utf-8"?>
<formControlPr xmlns="http://schemas.microsoft.com/office/spreadsheetml/2009/9/main" objectType="Drop" dropLines="9" dropStyle="combo" dx="16" fmlaLink="$B68" fmlaRange="$B$4:$B$12" sel="1" val="0"/>
</file>

<file path=xl/ctrlProps/ctrlProp28.xml><?xml version="1.0" encoding="utf-8"?>
<formControlPr xmlns="http://schemas.microsoft.com/office/spreadsheetml/2009/9/main" objectType="Drop" dropLines="9" dropStyle="combo" dx="16" fmlaLink="$B70" fmlaRange="$B$4:$B$12" sel="1" val="0"/>
</file>

<file path=xl/ctrlProps/ctrlProp29.xml><?xml version="1.0" encoding="utf-8"?>
<formControlPr xmlns="http://schemas.microsoft.com/office/spreadsheetml/2009/9/main" objectType="Drop" dropLines="9" dropStyle="combo" dx="16" fmlaLink="$B69" fmlaRange="$B$4:$B$12" sel="1" val="0"/>
</file>

<file path=xl/ctrlProps/ctrlProp3.xml><?xml version="1.0" encoding="utf-8"?>
<formControlPr xmlns="http://schemas.microsoft.com/office/spreadsheetml/2009/9/main" objectType="Drop" dropLines="9" dropStyle="combo" dx="16" fmlaLink="$B20" fmlaRange="$B$4:$B$12" sel="1" val="0"/>
</file>

<file path=xl/ctrlProps/ctrlProp30.xml><?xml version="1.0" encoding="utf-8"?>
<formControlPr xmlns="http://schemas.microsoft.com/office/spreadsheetml/2009/9/main" objectType="Drop" dropLines="9" dropStyle="combo" dx="16" fmlaLink="$B71" fmlaRange="$B$4:$B$12" sel="1" val="0"/>
</file>

<file path=xl/ctrlProps/ctrlProp31.xml><?xml version="1.0" encoding="utf-8"?>
<formControlPr xmlns="http://schemas.microsoft.com/office/spreadsheetml/2009/9/main" objectType="Drop" dropLines="9" dropStyle="combo" dx="16" fmlaLink="$B72" fmlaRange="$B$4:$B$12" sel="1" val="0"/>
</file>

<file path=xl/ctrlProps/ctrlProp32.xml><?xml version="1.0" encoding="utf-8"?>
<formControlPr xmlns="http://schemas.microsoft.com/office/spreadsheetml/2009/9/main" objectType="Drop" dropLines="9" dropStyle="combo" dx="16" fmlaLink="$B73" fmlaRange="$B$4:$B$12" sel="1" val="0"/>
</file>

<file path=xl/ctrlProps/ctrlProp33.xml><?xml version="1.0" encoding="utf-8"?>
<formControlPr xmlns="http://schemas.microsoft.com/office/spreadsheetml/2009/9/main" objectType="Drop" dropLines="9" dropStyle="combo" dx="16" fmlaLink="$B54" fmlaRange="$B$4:$B$12" sel="1" val="0"/>
</file>

<file path=xl/ctrlProps/ctrlProp34.xml><?xml version="1.0" encoding="utf-8"?>
<formControlPr xmlns="http://schemas.microsoft.com/office/spreadsheetml/2009/9/main" objectType="Drop" dropLines="9" dropStyle="combo" dx="16" fmlaLink="$B55" fmlaRange="$B$4:$B$12" sel="1" val="0"/>
</file>

<file path=xl/ctrlProps/ctrlProp35.xml><?xml version="1.0" encoding="utf-8"?>
<formControlPr xmlns="http://schemas.microsoft.com/office/spreadsheetml/2009/9/main" objectType="Drop" dropLines="9" dropStyle="combo" dx="16" fmlaLink="$B56" fmlaRange="$B$4:$B$12" sel="1" val="0"/>
</file>

<file path=xl/ctrlProps/ctrlProp36.xml><?xml version="1.0" encoding="utf-8"?>
<formControlPr xmlns="http://schemas.microsoft.com/office/spreadsheetml/2009/9/main" objectType="Drop" dropLines="9" dropStyle="combo" dx="16" fmlaLink="$B57" fmlaRange="$B$4:$B$12" sel="1" val="0"/>
</file>

<file path=xl/ctrlProps/ctrlProp37.xml><?xml version="1.0" encoding="utf-8"?>
<formControlPr xmlns="http://schemas.microsoft.com/office/spreadsheetml/2009/9/main" objectType="Drop" dropLines="9" dropStyle="combo" dx="16" fmlaLink="$B58" fmlaRange="$B$4:$B$12" sel="1" val="0"/>
</file>

<file path=xl/ctrlProps/ctrlProp38.xml><?xml version="1.0" encoding="utf-8"?>
<formControlPr xmlns="http://schemas.microsoft.com/office/spreadsheetml/2009/9/main" objectType="Drop" dropLines="9" dropStyle="combo" dx="16" fmlaLink="$B59" fmlaRange="$B$4:$B$12" sel="1" val="0"/>
</file>

<file path=xl/ctrlProps/ctrlProp39.xml><?xml version="1.0" encoding="utf-8"?>
<formControlPr xmlns="http://schemas.microsoft.com/office/spreadsheetml/2009/9/main" objectType="Drop" dropLines="9" dropStyle="combo" dx="16" fmlaLink="$B60" fmlaRange="$B$4:$B$12" sel="1" val="0"/>
</file>

<file path=xl/ctrlProps/ctrlProp4.xml><?xml version="1.0" encoding="utf-8"?>
<formControlPr xmlns="http://schemas.microsoft.com/office/spreadsheetml/2009/9/main" objectType="Drop" dropLines="9" dropStyle="combo" dx="16" fmlaLink="$B21" fmlaRange="$B$4:$B$12" sel="1" val="0"/>
</file>

<file path=xl/ctrlProps/ctrlProp40.xml><?xml version="1.0" encoding="utf-8"?>
<formControlPr xmlns="http://schemas.microsoft.com/office/spreadsheetml/2009/9/main" objectType="Drop" dropLines="9" dropStyle="combo" dx="16" fmlaLink="$B61" fmlaRange="$B$4:$B$12" sel="1" val="0"/>
</file>

<file path=xl/ctrlProps/ctrlProp41.xml><?xml version="1.0" encoding="utf-8"?>
<formControlPr xmlns="http://schemas.microsoft.com/office/spreadsheetml/2009/9/main" objectType="Drop" dropLines="4" dropStyle="combo" dx="16" fmlaLink="$K$66" fmlaRange="$F$77:$F$80" sel="1" val="0"/>
</file>

<file path=xl/ctrlProps/ctrlProp42.xml><?xml version="1.0" encoding="utf-8"?>
<formControlPr xmlns="http://schemas.microsoft.com/office/spreadsheetml/2009/9/main" objectType="Drop" dropLines="4" dropStyle="combo" dx="16" fmlaLink="$K$67" fmlaRange="$F$77:$F$80" sel="1" val="0"/>
</file>

<file path=xl/ctrlProps/ctrlProp43.xml><?xml version="1.0" encoding="utf-8"?>
<formControlPr xmlns="http://schemas.microsoft.com/office/spreadsheetml/2009/9/main" objectType="Drop" dropLines="4" dropStyle="combo" dx="16" fmlaLink="$K$68" fmlaRange="$F$77:$F$80" sel="1" val="0"/>
</file>

<file path=xl/ctrlProps/ctrlProp44.xml><?xml version="1.0" encoding="utf-8"?>
<formControlPr xmlns="http://schemas.microsoft.com/office/spreadsheetml/2009/9/main" objectType="Drop" dropLines="4" dropStyle="combo" dx="16" fmlaLink="$K$69" fmlaRange="$F$77:$F$80" sel="1" val="0"/>
</file>

<file path=xl/ctrlProps/ctrlProp45.xml><?xml version="1.0" encoding="utf-8"?>
<formControlPr xmlns="http://schemas.microsoft.com/office/spreadsheetml/2009/9/main" objectType="Drop" dropLines="4" dropStyle="combo" dx="16" fmlaLink="$K$70" fmlaRange="$F$77:$F$80" sel="1" val="0"/>
</file>

<file path=xl/ctrlProps/ctrlProp46.xml><?xml version="1.0" encoding="utf-8"?>
<formControlPr xmlns="http://schemas.microsoft.com/office/spreadsheetml/2009/9/main" objectType="Drop" dropLines="4" dropStyle="combo" dx="16" fmlaLink="$K$71" fmlaRange="$F$77:$F$80" sel="1" val="0"/>
</file>

<file path=xl/ctrlProps/ctrlProp47.xml><?xml version="1.0" encoding="utf-8"?>
<formControlPr xmlns="http://schemas.microsoft.com/office/spreadsheetml/2009/9/main" objectType="Drop" dropLines="4" dropStyle="combo" dx="16" fmlaLink="$K$72" fmlaRange="$F$77:$F$80" sel="1" val="0"/>
</file>

<file path=xl/ctrlProps/ctrlProp48.xml><?xml version="1.0" encoding="utf-8"?>
<formControlPr xmlns="http://schemas.microsoft.com/office/spreadsheetml/2009/9/main" objectType="Drop" dropLines="4" dropStyle="combo" dx="16" fmlaLink="$K$73" fmlaRange="$F$77:$F$80" sel="1" val="0"/>
</file>

<file path=xl/ctrlProps/ctrlProp49.xml><?xml version="1.0" encoding="utf-8"?>
<formControlPr xmlns="http://schemas.microsoft.com/office/spreadsheetml/2009/9/main" objectType="Drop" dropLines="9" dropStyle="combo" dx="16" fmlaLink="$B173" fmlaRange="$B$4:$B$12" sel="1" val="0"/>
</file>

<file path=xl/ctrlProps/ctrlProp5.xml><?xml version="1.0" encoding="utf-8"?>
<formControlPr xmlns="http://schemas.microsoft.com/office/spreadsheetml/2009/9/main" objectType="Drop" dropLines="9" dropStyle="combo" dx="16" fmlaLink="$B22" fmlaRange="$B$4:$B$12" sel="1" val="0"/>
</file>

<file path=xl/ctrlProps/ctrlProp50.xml><?xml version="1.0" encoding="utf-8"?>
<formControlPr xmlns="http://schemas.microsoft.com/office/spreadsheetml/2009/9/main" objectType="Drop" dropLines="9" dropStyle="combo" dx="16" fmlaLink="$B174" fmlaRange="$B$4:$B$12" sel="0" val="0"/>
</file>

<file path=xl/ctrlProps/ctrlProp51.xml><?xml version="1.0" encoding="utf-8"?>
<formControlPr xmlns="http://schemas.microsoft.com/office/spreadsheetml/2009/9/main" objectType="Drop" dropLines="9" dropStyle="combo" dx="16" fmlaLink="$B175" fmlaRange="$B$4:$B$12" sel="0" val="0"/>
</file>

<file path=xl/ctrlProps/ctrlProp52.xml><?xml version="1.0" encoding="utf-8"?>
<formControlPr xmlns="http://schemas.microsoft.com/office/spreadsheetml/2009/9/main" objectType="Drop" dropLines="9" dropStyle="combo" dx="16" fmlaLink="$B176" fmlaRange="$B$4:$B$12" sel="0" val="0"/>
</file>

<file path=xl/ctrlProps/ctrlProp53.xml><?xml version="1.0" encoding="utf-8"?>
<formControlPr xmlns="http://schemas.microsoft.com/office/spreadsheetml/2009/9/main" objectType="Drop" dropLines="9" dropStyle="combo" dx="16" fmlaLink="$B177" fmlaRange="$B$4:$B$12" sel="0" val="0"/>
</file>

<file path=xl/ctrlProps/ctrlProp54.xml><?xml version="1.0" encoding="utf-8"?>
<formControlPr xmlns="http://schemas.microsoft.com/office/spreadsheetml/2009/9/main" objectType="Drop" dropLines="9" dropStyle="combo" dx="16" fmlaLink="$B178" fmlaRange="$B$4:$B$12" sel="0" val="0"/>
</file>

<file path=xl/ctrlProps/ctrlProp55.xml><?xml version="1.0" encoding="utf-8"?>
<formControlPr xmlns="http://schemas.microsoft.com/office/spreadsheetml/2009/9/main" objectType="Drop" dropLines="9" dropStyle="combo" dx="16" fmlaLink="$B179" fmlaRange="$B$4:$B$12" sel="0" val="0"/>
</file>

<file path=xl/ctrlProps/ctrlProp56.xml><?xml version="1.0" encoding="utf-8"?>
<formControlPr xmlns="http://schemas.microsoft.com/office/spreadsheetml/2009/9/main" objectType="Drop" dropLines="4" dropStyle="combo" dx="16" fmlaLink="$K$173" fmlaRange="$F$184:$F$187" sel="1" val="0"/>
</file>

<file path=xl/ctrlProps/ctrlProp57.xml><?xml version="1.0" encoding="utf-8"?>
<formControlPr xmlns="http://schemas.microsoft.com/office/spreadsheetml/2009/9/main" objectType="Drop" dropLines="4" dropStyle="combo" dx="16" fmlaLink="$K$174" fmlaRange="$F$184:$F$187" sel="1" val="0"/>
</file>

<file path=xl/ctrlProps/ctrlProp58.xml><?xml version="1.0" encoding="utf-8"?>
<formControlPr xmlns="http://schemas.microsoft.com/office/spreadsheetml/2009/9/main" objectType="Drop" dropLines="4" dropStyle="combo" dx="16" fmlaLink="$K$175" fmlaRange="$F$184:$F$187" sel="1" val="0"/>
</file>

<file path=xl/ctrlProps/ctrlProp59.xml><?xml version="1.0" encoding="utf-8"?>
<formControlPr xmlns="http://schemas.microsoft.com/office/spreadsheetml/2009/9/main" objectType="Drop" dropLines="4" dropStyle="combo" dx="16" fmlaLink="$K$176" fmlaRange="$F$184:$F$187" sel="1" val="0"/>
</file>

<file path=xl/ctrlProps/ctrlProp6.xml><?xml version="1.0" encoding="utf-8"?>
<formControlPr xmlns="http://schemas.microsoft.com/office/spreadsheetml/2009/9/main" objectType="Drop" dropLines="9" dropStyle="combo" dx="16" fmlaLink="$B23" fmlaRange="$B$4:$B$12" sel="1" val="0"/>
</file>

<file path=xl/ctrlProps/ctrlProp60.xml><?xml version="1.0" encoding="utf-8"?>
<formControlPr xmlns="http://schemas.microsoft.com/office/spreadsheetml/2009/9/main" objectType="Drop" dropLines="4" dropStyle="combo" dx="16" fmlaLink="$K$177" fmlaRange="$F$184:$F$187" sel="1" val="0"/>
</file>

<file path=xl/ctrlProps/ctrlProp61.xml><?xml version="1.0" encoding="utf-8"?>
<formControlPr xmlns="http://schemas.microsoft.com/office/spreadsheetml/2009/9/main" objectType="Drop" dropLines="4" dropStyle="combo" dx="16" fmlaLink="$K$178" fmlaRange="$F$184:$F$187" sel="1" val="0"/>
</file>

<file path=xl/ctrlProps/ctrlProp62.xml><?xml version="1.0" encoding="utf-8"?>
<formControlPr xmlns="http://schemas.microsoft.com/office/spreadsheetml/2009/9/main" objectType="Drop" dropLines="4" dropStyle="combo" dx="16" fmlaLink="$K$179" fmlaRange="$F$184:$F$187" sel="1" val="0"/>
</file>

<file path=xl/ctrlProps/ctrlProp63.xml><?xml version="1.0" encoding="utf-8"?>
<formControlPr xmlns="http://schemas.microsoft.com/office/spreadsheetml/2009/9/main" objectType="Drop" dropLines="9" dropStyle="combo" dx="16" fmlaLink="$B180" fmlaRange="$B$4:$B$12" sel="0" val="0"/>
</file>

<file path=xl/ctrlProps/ctrlProp64.xml><?xml version="1.0" encoding="utf-8"?>
<formControlPr xmlns="http://schemas.microsoft.com/office/spreadsheetml/2009/9/main" objectType="Drop" dropLines="4" dropStyle="combo" dx="16" fmlaLink="$K$180" fmlaRange="$F$184:$F$187" sel="1" val="0"/>
</file>

<file path=xl/ctrlProps/ctrlProp65.xml><?xml version="1.0" encoding="utf-8"?>
<formControlPr xmlns="http://schemas.microsoft.com/office/spreadsheetml/2009/9/main" objectType="CheckBox" fmlaLink="$J3" lockText="1"/>
</file>

<file path=xl/ctrlProps/ctrlProp66.xml><?xml version="1.0" encoding="utf-8"?>
<formControlPr xmlns="http://schemas.microsoft.com/office/spreadsheetml/2009/9/main" objectType="CheckBox" fmlaLink="$K3" lockText="1"/>
</file>

<file path=xl/ctrlProps/ctrlProp67.xml><?xml version="1.0" encoding="utf-8"?>
<formControlPr xmlns="http://schemas.microsoft.com/office/spreadsheetml/2009/9/main" objectType="CheckBox" fmlaLink="$J4" lockText="1"/>
</file>

<file path=xl/ctrlProps/ctrlProp68.xml><?xml version="1.0" encoding="utf-8"?>
<formControlPr xmlns="http://schemas.microsoft.com/office/spreadsheetml/2009/9/main" objectType="CheckBox" fmlaLink="$K4" lockText="1"/>
</file>

<file path=xl/ctrlProps/ctrlProp69.xml><?xml version="1.0" encoding="utf-8"?>
<formControlPr xmlns="http://schemas.microsoft.com/office/spreadsheetml/2009/9/main" objectType="CheckBox" fmlaLink="$J5" lockText="1"/>
</file>

<file path=xl/ctrlProps/ctrlProp7.xml><?xml version="1.0" encoding="utf-8"?>
<formControlPr xmlns="http://schemas.microsoft.com/office/spreadsheetml/2009/9/main" objectType="Drop" dropLines="9" dropStyle="combo" dx="16" fmlaLink="$B24" fmlaRange="$B$4:$B$12" sel="1" val="0"/>
</file>

<file path=xl/ctrlProps/ctrlProp70.xml><?xml version="1.0" encoding="utf-8"?>
<formControlPr xmlns="http://schemas.microsoft.com/office/spreadsheetml/2009/9/main" objectType="CheckBox" fmlaLink="$K5" lockText="1"/>
</file>

<file path=xl/ctrlProps/ctrlProp71.xml><?xml version="1.0" encoding="utf-8"?>
<formControlPr xmlns="http://schemas.microsoft.com/office/spreadsheetml/2009/9/main" objectType="CheckBox" fmlaLink="$J6" lockText="1"/>
</file>

<file path=xl/ctrlProps/ctrlProp72.xml><?xml version="1.0" encoding="utf-8"?>
<formControlPr xmlns="http://schemas.microsoft.com/office/spreadsheetml/2009/9/main" objectType="CheckBox" fmlaLink="$K6" lockText="1"/>
</file>

<file path=xl/ctrlProps/ctrlProp73.xml><?xml version="1.0" encoding="utf-8"?>
<formControlPr xmlns="http://schemas.microsoft.com/office/spreadsheetml/2009/9/main" objectType="CheckBox" fmlaLink="$J7" lockText="1"/>
</file>

<file path=xl/ctrlProps/ctrlProp74.xml><?xml version="1.0" encoding="utf-8"?>
<formControlPr xmlns="http://schemas.microsoft.com/office/spreadsheetml/2009/9/main" objectType="CheckBox" fmlaLink="$K7" lockText="1"/>
</file>

<file path=xl/ctrlProps/ctrlProp75.xml><?xml version="1.0" encoding="utf-8"?>
<formControlPr xmlns="http://schemas.microsoft.com/office/spreadsheetml/2009/9/main" objectType="CheckBox" fmlaLink="$J8" lockText="1"/>
</file>

<file path=xl/ctrlProps/ctrlProp76.xml><?xml version="1.0" encoding="utf-8"?>
<formControlPr xmlns="http://schemas.microsoft.com/office/spreadsheetml/2009/9/main" objectType="CheckBox" fmlaLink="$K8" lockText="1"/>
</file>

<file path=xl/ctrlProps/ctrlProp77.xml><?xml version="1.0" encoding="utf-8"?>
<formControlPr xmlns="http://schemas.microsoft.com/office/spreadsheetml/2009/9/main" objectType="CheckBox" fmlaLink="$J9" lockText="1"/>
</file>

<file path=xl/ctrlProps/ctrlProp78.xml><?xml version="1.0" encoding="utf-8"?>
<formControlPr xmlns="http://schemas.microsoft.com/office/spreadsheetml/2009/9/main" objectType="CheckBox" fmlaLink="$K9" lockText="1"/>
</file>

<file path=xl/ctrlProps/ctrlProp79.xml><?xml version="1.0" encoding="utf-8"?>
<formControlPr xmlns="http://schemas.microsoft.com/office/spreadsheetml/2009/9/main" objectType="CheckBox" fmlaLink="$J10" lockText="1"/>
</file>

<file path=xl/ctrlProps/ctrlProp8.xml><?xml version="1.0" encoding="utf-8"?>
<formControlPr xmlns="http://schemas.microsoft.com/office/spreadsheetml/2009/9/main" objectType="Drop" dropLines="9" dropStyle="combo" dx="16" fmlaLink="$B25" fmlaRange="$B$4:$B$12" sel="1" val="0"/>
</file>

<file path=xl/ctrlProps/ctrlProp80.xml><?xml version="1.0" encoding="utf-8"?>
<formControlPr xmlns="http://schemas.microsoft.com/office/spreadsheetml/2009/9/main" objectType="CheckBox" fmlaLink="$K10" lockText="1"/>
</file>

<file path=xl/ctrlProps/ctrlProp81.xml><?xml version="1.0" encoding="utf-8"?>
<formControlPr xmlns="http://schemas.microsoft.com/office/spreadsheetml/2009/9/main" objectType="CheckBox" fmlaLink="$J11" lockText="1"/>
</file>

<file path=xl/ctrlProps/ctrlProp82.xml><?xml version="1.0" encoding="utf-8"?>
<formControlPr xmlns="http://schemas.microsoft.com/office/spreadsheetml/2009/9/main" objectType="CheckBox" fmlaLink="$K11" lockText="1"/>
</file>

<file path=xl/ctrlProps/ctrlProp83.xml><?xml version="1.0" encoding="utf-8"?>
<formControlPr xmlns="http://schemas.microsoft.com/office/spreadsheetml/2009/9/main" objectType="CheckBox" fmlaLink="$J12" lockText="1"/>
</file>

<file path=xl/ctrlProps/ctrlProp84.xml><?xml version="1.0" encoding="utf-8"?>
<formControlPr xmlns="http://schemas.microsoft.com/office/spreadsheetml/2009/9/main" objectType="CheckBox" fmlaLink="$K12" lockText="1"/>
</file>

<file path=xl/ctrlProps/ctrlProp85.xml><?xml version="1.0" encoding="utf-8"?>
<formControlPr xmlns="http://schemas.microsoft.com/office/spreadsheetml/2009/9/main" objectType="CheckBox" fmlaLink="$J13" lockText="1"/>
</file>

<file path=xl/ctrlProps/ctrlProp86.xml><?xml version="1.0" encoding="utf-8"?>
<formControlPr xmlns="http://schemas.microsoft.com/office/spreadsheetml/2009/9/main" objectType="CheckBox" fmlaLink="$K13" lockText="1"/>
</file>

<file path=xl/ctrlProps/ctrlProp87.xml><?xml version="1.0" encoding="utf-8"?>
<formControlPr xmlns="http://schemas.microsoft.com/office/spreadsheetml/2009/9/main" objectType="CheckBox" fmlaLink="$J14" lockText="1"/>
</file>

<file path=xl/ctrlProps/ctrlProp88.xml><?xml version="1.0" encoding="utf-8"?>
<formControlPr xmlns="http://schemas.microsoft.com/office/spreadsheetml/2009/9/main" objectType="CheckBox" fmlaLink="$K14" lockText="1"/>
</file>

<file path=xl/ctrlProps/ctrlProp89.xml><?xml version="1.0" encoding="utf-8"?>
<formControlPr xmlns="http://schemas.microsoft.com/office/spreadsheetml/2009/9/main" objectType="CheckBox" fmlaLink="$J15" lockText="1"/>
</file>

<file path=xl/ctrlProps/ctrlProp9.xml><?xml version="1.0" encoding="utf-8"?>
<formControlPr xmlns="http://schemas.microsoft.com/office/spreadsheetml/2009/9/main" objectType="Drop" dropLines="9" dropStyle="combo" dx="16" fmlaLink="$B30" fmlaRange="$B$4:$B$12" sel="1" val="0"/>
</file>

<file path=xl/ctrlProps/ctrlProp90.xml><?xml version="1.0" encoding="utf-8"?>
<formControlPr xmlns="http://schemas.microsoft.com/office/spreadsheetml/2009/9/main" objectType="CheckBox" fmlaLink="$K15" lockText="1"/>
</file>

<file path=xl/ctrlProps/ctrlProp91.xml><?xml version="1.0" encoding="utf-8"?>
<formControlPr xmlns="http://schemas.microsoft.com/office/spreadsheetml/2009/9/main" objectType="CheckBox" fmlaLink="$J16" lockText="1"/>
</file>

<file path=xl/ctrlProps/ctrlProp92.xml><?xml version="1.0" encoding="utf-8"?>
<formControlPr xmlns="http://schemas.microsoft.com/office/spreadsheetml/2009/9/main" objectType="CheckBox" fmlaLink="$K16" lockText="1"/>
</file>

<file path=xl/ctrlProps/ctrlProp93.xml><?xml version="1.0" encoding="utf-8"?>
<formControlPr xmlns="http://schemas.microsoft.com/office/spreadsheetml/2009/9/main" objectType="CheckBox" fmlaLink="$J17" lockText="1"/>
</file>

<file path=xl/ctrlProps/ctrlProp94.xml><?xml version="1.0" encoding="utf-8"?>
<formControlPr xmlns="http://schemas.microsoft.com/office/spreadsheetml/2009/9/main" objectType="CheckBox" fmlaLink="$K17" lockText="1"/>
</file>

<file path=xl/ctrlProps/ctrlProp95.xml><?xml version="1.0" encoding="utf-8"?>
<formControlPr xmlns="http://schemas.microsoft.com/office/spreadsheetml/2009/9/main" objectType="CheckBox" fmlaLink="$J18" lockText="1"/>
</file>

<file path=xl/ctrlProps/ctrlProp96.xml><?xml version="1.0" encoding="utf-8"?>
<formControlPr xmlns="http://schemas.microsoft.com/office/spreadsheetml/2009/9/main" objectType="CheckBox" fmlaLink="$K18" lockText="1"/>
</file>

<file path=xl/ctrlProps/ctrlProp97.xml><?xml version="1.0" encoding="utf-8"?>
<formControlPr xmlns="http://schemas.microsoft.com/office/spreadsheetml/2009/9/main" objectType="CheckBox" fmlaLink="$J19" lockText="1"/>
</file>

<file path=xl/ctrlProps/ctrlProp98.xml><?xml version="1.0" encoding="utf-8"?>
<formControlPr xmlns="http://schemas.microsoft.com/office/spreadsheetml/2009/9/main" objectType="CheckBox" fmlaLink="$K19" lockText="1"/>
</file>

<file path=xl/ctrlProps/ctrlProp99.xml><?xml version="1.0" encoding="utf-8"?>
<formControlPr xmlns="http://schemas.microsoft.com/office/spreadsheetml/2009/9/main" objectType="CheckBox" fmlaLink="$J20"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76200</xdr:colOff>
      <xdr:row>1</xdr:row>
      <xdr:rowOff>120161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8575"/>
          <a:ext cx="657225" cy="5392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647700</xdr:colOff>
      <xdr:row>2</xdr:row>
      <xdr:rowOff>104775</xdr:rowOff>
    </xdr:to>
    <xdr:pic>
      <xdr:nvPicPr>
        <xdr:cNvPr id="2" name="Picture 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47700" cy="428625"/>
        </a:xfrm>
        <a:prstGeom prst="rect">
          <a:avLst/>
        </a:prstGeom>
        <a:noFill/>
        <a:ln w="9525">
          <a:noFill/>
          <a:miter lim="800000"/>
          <a:headEnd/>
          <a:tailEnd/>
        </a:ln>
      </xdr:spPr>
    </xdr:pic>
    <xdr:clientData/>
  </xdr:twoCellAnchor>
  <xdr:twoCellAnchor editAs="absolute">
    <xdr:from>
      <xdr:col>4</xdr:col>
      <xdr:colOff>190499</xdr:colOff>
      <xdr:row>0</xdr:row>
      <xdr:rowOff>47625</xdr:rowOff>
    </xdr:from>
    <xdr:to>
      <xdr:col>4</xdr:col>
      <xdr:colOff>838199</xdr:colOff>
      <xdr:row>2</xdr:row>
      <xdr:rowOff>152400</xdr:rowOff>
    </xdr:to>
    <xdr:pic>
      <xdr:nvPicPr>
        <xdr:cNvPr id="4" name="Picture 3"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6310312" y="47625"/>
          <a:ext cx="647700" cy="438150"/>
        </a:xfrm>
        <a:prstGeom prst="rect">
          <a:avLst/>
        </a:prstGeom>
        <a:noFill/>
        <a:ln w="9525">
          <a:noFill/>
          <a:miter lim="800000"/>
          <a:headEnd/>
          <a:tailEnd/>
        </a:ln>
      </xdr:spPr>
    </xdr:pic>
    <xdr:clientData/>
  </xdr:twoCellAnchor>
  <xdr:twoCellAnchor editAs="absolute">
    <xdr:from>
      <xdr:col>8</xdr:col>
      <xdr:colOff>119063</xdr:colOff>
      <xdr:row>0</xdr:row>
      <xdr:rowOff>35719</xdr:rowOff>
    </xdr:from>
    <xdr:to>
      <xdr:col>8</xdr:col>
      <xdr:colOff>766763</xdr:colOff>
      <xdr:row>2</xdr:row>
      <xdr:rowOff>140494</xdr:rowOff>
    </xdr:to>
    <xdr:pic>
      <xdr:nvPicPr>
        <xdr:cNvPr id="5" name="Picture 4"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12358688" y="35719"/>
          <a:ext cx="647700" cy="438150"/>
        </a:xfrm>
        <a:prstGeom prst="rect">
          <a:avLst/>
        </a:prstGeom>
        <a:noFill/>
        <a:ln w="9525">
          <a:noFill/>
          <a:miter lim="800000"/>
          <a:headEnd/>
          <a:tailEnd/>
        </a:ln>
      </xdr:spPr>
    </xdr:pic>
    <xdr:clientData/>
  </xdr:twoCellAnchor>
  <xdr:twoCellAnchor editAs="absolute">
    <xdr:from>
      <xdr:col>12</xdr:col>
      <xdr:colOff>178593</xdr:colOff>
      <xdr:row>0</xdr:row>
      <xdr:rowOff>35719</xdr:rowOff>
    </xdr:from>
    <xdr:to>
      <xdr:col>12</xdr:col>
      <xdr:colOff>826293</xdr:colOff>
      <xdr:row>2</xdr:row>
      <xdr:rowOff>140494</xdr:rowOff>
    </xdr:to>
    <xdr:pic>
      <xdr:nvPicPr>
        <xdr:cNvPr id="6" name="Picture 5"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18538031" y="35719"/>
          <a:ext cx="647700" cy="438150"/>
        </a:xfrm>
        <a:prstGeom prst="rect">
          <a:avLst/>
        </a:prstGeom>
        <a:noFill/>
        <a:ln w="9525">
          <a:noFill/>
          <a:miter lim="800000"/>
          <a:headEnd/>
          <a:tailEnd/>
        </a:ln>
      </xdr:spPr>
    </xdr:pic>
    <xdr:clientData/>
  </xdr:twoCellAnchor>
  <xdr:twoCellAnchor editAs="absolute">
    <xdr:from>
      <xdr:col>16</xdr:col>
      <xdr:colOff>154781</xdr:colOff>
      <xdr:row>0</xdr:row>
      <xdr:rowOff>35719</xdr:rowOff>
    </xdr:from>
    <xdr:to>
      <xdr:col>16</xdr:col>
      <xdr:colOff>802481</xdr:colOff>
      <xdr:row>2</xdr:row>
      <xdr:rowOff>140494</xdr:rowOff>
    </xdr:to>
    <xdr:pic>
      <xdr:nvPicPr>
        <xdr:cNvPr id="7" name="Picture 6"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24634031" y="35719"/>
          <a:ext cx="647700" cy="438150"/>
        </a:xfrm>
        <a:prstGeom prst="rect">
          <a:avLst/>
        </a:prstGeom>
        <a:noFill/>
        <a:ln w="9525">
          <a:noFill/>
          <a:miter lim="800000"/>
          <a:headEnd/>
          <a:tailEnd/>
        </a:ln>
      </xdr:spPr>
    </xdr:pic>
    <xdr:clientData/>
  </xdr:twoCellAnchor>
  <xdr:twoCellAnchor editAs="absolute">
    <xdr:from>
      <xdr:col>20</xdr:col>
      <xdr:colOff>130968</xdr:colOff>
      <xdr:row>0</xdr:row>
      <xdr:rowOff>23813</xdr:rowOff>
    </xdr:from>
    <xdr:to>
      <xdr:col>20</xdr:col>
      <xdr:colOff>778668</xdr:colOff>
      <xdr:row>2</xdr:row>
      <xdr:rowOff>128588</xdr:rowOff>
    </xdr:to>
    <xdr:pic>
      <xdr:nvPicPr>
        <xdr:cNvPr id="8" name="Picture 7"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30730031" y="23813"/>
          <a:ext cx="647700" cy="438150"/>
        </a:xfrm>
        <a:prstGeom prst="rect">
          <a:avLst/>
        </a:prstGeom>
        <a:noFill/>
        <a:ln w="9525">
          <a:noFill/>
          <a:miter lim="800000"/>
          <a:headEnd/>
          <a:tailEnd/>
        </a:ln>
      </xdr:spPr>
    </xdr:pic>
    <xdr:clientData/>
  </xdr:twoCellAnchor>
  <xdr:twoCellAnchor editAs="absolute">
    <xdr:from>
      <xdr:col>24</xdr:col>
      <xdr:colOff>154782</xdr:colOff>
      <xdr:row>0</xdr:row>
      <xdr:rowOff>23812</xdr:rowOff>
    </xdr:from>
    <xdr:to>
      <xdr:col>24</xdr:col>
      <xdr:colOff>802482</xdr:colOff>
      <xdr:row>2</xdr:row>
      <xdr:rowOff>128587</xdr:rowOff>
    </xdr:to>
    <xdr:pic>
      <xdr:nvPicPr>
        <xdr:cNvPr id="9" name="Picture 8"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36873657" y="23812"/>
          <a:ext cx="647700" cy="438150"/>
        </a:xfrm>
        <a:prstGeom prst="rect">
          <a:avLst/>
        </a:prstGeom>
        <a:noFill/>
        <a:ln w="9525">
          <a:noFill/>
          <a:miter lim="800000"/>
          <a:headEnd/>
          <a:tailEnd/>
        </a:ln>
      </xdr:spPr>
    </xdr:pic>
    <xdr:clientData/>
  </xdr:twoCellAnchor>
  <xdr:twoCellAnchor editAs="absolute">
    <xdr:from>
      <xdr:col>36</xdr:col>
      <xdr:colOff>71437</xdr:colOff>
      <xdr:row>0</xdr:row>
      <xdr:rowOff>35718</xdr:rowOff>
    </xdr:from>
    <xdr:to>
      <xdr:col>36</xdr:col>
      <xdr:colOff>719137</xdr:colOff>
      <xdr:row>2</xdr:row>
      <xdr:rowOff>140493</xdr:rowOff>
    </xdr:to>
    <xdr:pic>
      <xdr:nvPicPr>
        <xdr:cNvPr id="12" name="Picture 1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55149750" y="35718"/>
          <a:ext cx="647700" cy="438150"/>
        </a:xfrm>
        <a:prstGeom prst="rect">
          <a:avLst/>
        </a:prstGeom>
        <a:noFill/>
        <a:ln w="9525">
          <a:noFill/>
          <a:miter lim="800000"/>
          <a:headEnd/>
          <a:tailEnd/>
        </a:ln>
      </xdr:spPr>
    </xdr:pic>
    <xdr:clientData/>
  </xdr:twoCellAnchor>
  <xdr:twoCellAnchor editAs="absolute">
    <xdr:from>
      <xdr:col>40</xdr:col>
      <xdr:colOff>190501</xdr:colOff>
      <xdr:row>0</xdr:row>
      <xdr:rowOff>35718</xdr:rowOff>
    </xdr:from>
    <xdr:to>
      <xdr:col>40</xdr:col>
      <xdr:colOff>838201</xdr:colOff>
      <xdr:row>2</xdr:row>
      <xdr:rowOff>140493</xdr:rowOff>
    </xdr:to>
    <xdr:pic>
      <xdr:nvPicPr>
        <xdr:cNvPr id="13" name="Picture 12"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61388626" y="35718"/>
          <a:ext cx="647700" cy="438150"/>
        </a:xfrm>
        <a:prstGeom prst="rect">
          <a:avLst/>
        </a:prstGeom>
        <a:noFill/>
        <a:ln w="9525">
          <a:noFill/>
          <a:miter lim="800000"/>
          <a:headEnd/>
          <a:tailEnd/>
        </a:ln>
      </xdr:spPr>
    </xdr:pic>
    <xdr:clientData/>
  </xdr:twoCellAnchor>
  <xdr:twoCellAnchor editAs="absolute">
    <xdr:from>
      <xdr:col>28</xdr:col>
      <xdr:colOff>154780</xdr:colOff>
      <xdr:row>0</xdr:row>
      <xdr:rowOff>11905</xdr:rowOff>
    </xdr:from>
    <xdr:to>
      <xdr:col>28</xdr:col>
      <xdr:colOff>802480</xdr:colOff>
      <xdr:row>2</xdr:row>
      <xdr:rowOff>116680</xdr:rowOff>
    </xdr:to>
    <xdr:pic>
      <xdr:nvPicPr>
        <xdr:cNvPr id="20" name="Picture 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42993468" y="11905"/>
          <a:ext cx="647700" cy="438150"/>
        </a:xfrm>
        <a:prstGeom prst="rect">
          <a:avLst/>
        </a:prstGeom>
        <a:noFill/>
        <a:ln w="9525">
          <a:noFill/>
          <a:miter lim="800000"/>
          <a:headEnd/>
          <a:tailEnd/>
        </a:ln>
      </xdr:spPr>
    </xdr:pic>
    <xdr:clientData/>
  </xdr:twoCellAnchor>
  <xdr:twoCellAnchor editAs="absolute">
    <xdr:from>
      <xdr:col>32</xdr:col>
      <xdr:colOff>71437</xdr:colOff>
      <xdr:row>0</xdr:row>
      <xdr:rowOff>35719</xdr:rowOff>
    </xdr:from>
    <xdr:to>
      <xdr:col>32</xdr:col>
      <xdr:colOff>719137</xdr:colOff>
      <xdr:row>2</xdr:row>
      <xdr:rowOff>140494</xdr:rowOff>
    </xdr:to>
    <xdr:pic>
      <xdr:nvPicPr>
        <xdr:cNvPr id="21" name="Picture 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49029937" y="35719"/>
          <a:ext cx="647700" cy="438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152400</xdr:colOff>
      <xdr:row>0</xdr:row>
      <xdr:rowOff>66675</xdr:rowOff>
    </xdr:from>
    <xdr:to>
      <xdr:col>1</xdr:col>
      <xdr:colOff>800100</xdr:colOff>
      <xdr:row>2</xdr:row>
      <xdr:rowOff>28575</xdr:rowOff>
    </xdr:to>
    <xdr:pic>
      <xdr:nvPicPr>
        <xdr:cNvPr id="7380" name="Picture 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1304925" y="66675"/>
          <a:ext cx="647700" cy="419100"/>
        </a:xfrm>
        <a:prstGeom prst="rect">
          <a:avLst/>
        </a:prstGeom>
        <a:noFill/>
        <a:ln w="9525">
          <a:noFill/>
          <a:miter lim="800000"/>
          <a:headEnd/>
          <a:tailEnd/>
        </a:ln>
      </xdr:spPr>
    </xdr:pic>
    <xdr:clientData/>
  </xdr:twoCellAnchor>
  <xdr:twoCellAnchor editAs="absolute">
    <xdr:from>
      <xdr:col>7</xdr:col>
      <xdr:colOff>279586</xdr:colOff>
      <xdr:row>0</xdr:row>
      <xdr:rowOff>66675</xdr:rowOff>
    </xdr:from>
    <xdr:to>
      <xdr:col>8</xdr:col>
      <xdr:colOff>183776</xdr:colOff>
      <xdr:row>2</xdr:row>
      <xdr:rowOff>28575</xdr:rowOff>
    </xdr:to>
    <xdr:pic>
      <xdr:nvPicPr>
        <xdr:cNvPr id="7381" name="Picture 2" descr="NEWLOGOC"/>
        <xdr:cNvPicPr>
          <a:picLocks noChangeAspect="1" noChangeArrowheads="1"/>
        </xdr:cNvPicPr>
      </xdr:nvPicPr>
      <xdr:blipFill>
        <a:blip xmlns:r="http://schemas.openxmlformats.org/officeDocument/2006/relationships" r:embed="rId2" cstate="print"/>
        <a:srcRect/>
        <a:stretch>
          <a:fillRect/>
        </a:stretch>
      </xdr:blipFill>
      <xdr:spPr bwMode="auto">
        <a:xfrm>
          <a:off x="7829550" y="66675"/>
          <a:ext cx="647700" cy="4191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1</xdr:col>
          <xdr:colOff>1190625</xdr:colOff>
          <xdr:row>18</xdr:row>
          <xdr:rowOff>19050</xdr:rowOff>
        </xdr:to>
        <xdr:sp macro="" textlink="">
          <xdr:nvSpPr>
            <xdr:cNvPr id="7172" name="Drop Down 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1</xdr:col>
          <xdr:colOff>1190625</xdr:colOff>
          <xdr:row>19</xdr:row>
          <xdr:rowOff>19050</xdr:rowOff>
        </xdr:to>
        <xdr:sp macro="" textlink="">
          <xdr:nvSpPr>
            <xdr:cNvPr id="7173" name="Drop Down 5" hidden="1">
              <a:extLst>
                <a:ext uri="{63B3BB69-23CF-44E3-9099-C40C66FF867C}">
                  <a14:compatExt spid="_x0000_s7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1</xdr:col>
          <xdr:colOff>1190625</xdr:colOff>
          <xdr:row>20</xdr:row>
          <xdr:rowOff>19050</xdr:rowOff>
        </xdr:to>
        <xdr:sp macro="" textlink="">
          <xdr:nvSpPr>
            <xdr:cNvPr id="7174" name="Drop Down 6" hidden="1">
              <a:extLst>
                <a:ext uri="{63B3BB69-23CF-44E3-9099-C40C66FF867C}">
                  <a14:compatExt spid="_x0000_s7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1</xdr:col>
          <xdr:colOff>1190625</xdr:colOff>
          <xdr:row>21</xdr:row>
          <xdr:rowOff>28575</xdr:rowOff>
        </xdr:to>
        <xdr:sp macro="" textlink="">
          <xdr:nvSpPr>
            <xdr:cNvPr id="7175" name="Drop Down 7" hidden="1">
              <a:extLst>
                <a:ext uri="{63B3BB69-23CF-44E3-9099-C40C66FF867C}">
                  <a14:compatExt spid="_x0000_s7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28575</xdr:rowOff>
        </xdr:from>
        <xdr:to>
          <xdr:col>1</xdr:col>
          <xdr:colOff>1190625</xdr:colOff>
          <xdr:row>22</xdr:row>
          <xdr:rowOff>28575</xdr:rowOff>
        </xdr:to>
        <xdr:sp macro="" textlink="">
          <xdr:nvSpPr>
            <xdr:cNvPr id="7176" name="Drop Down 8" hidden="1">
              <a:extLst>
                <a:ext uri="{63B3BB69-23CF-44E3-9099-C40C66FF867C}">
                  <a14:compatExt spid="_x0000_s7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28575</xdr:rowOff>
        </xdr:from>
        <xdr:to>
          <xdr:col>1</xdr:col>
          <xdr:colOff>1190625</xdr:colOff>
          <xdr:row>23</xdr:row>
          <xdr:rowOff>28575</xdr:rowOff>
        </xdr:to>
        <xdr:sp macro="" textlink="">
          <xdr:nvSpPr>
            <xdr:cNvPr id="7177" name="Drop Down 9" hidden="1">
              <a:extLst>
                <a:ext uri="{63B3BB69-23CF-44E3-9099-C40C66FF867C}">
                  <a14:compatExt spid="_x0000_s7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28575</xdr:rowOff>
        </xdr:from>
        <xdr:to>
          <xdr:col>1</xdr:col>
          <xdr:colOff>1190625</xdr:colOff>
          <xdr:row>24</xdr:row>
          <xdr:rowOff>28575</xdr:rowOff>
        </xdr:to>
        <xdr:sp macro="" textlink="">
          <xdr:nvSpPr>
            <xdr:cNvPr id="7178" name="Drop Down 10" hidden="1">
              <a:extLst>
                <a:ext uri="{63B3BB69-23CF-44E3-9099-C40C66FF867C}">
                  <a14:compatExt spid="_x0000_s7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38100</xdr:rowOff>
        </xdr:from>
        <xdr:to>
          <xdr:col>1</xdr:col>
          <xdr:colOff>1190625</xdr:colOff>
          <xdr:row>25</xdr:row>
          <xdr:rowOff>38100</xdr:rowOff>
        </xdr:to>
        <xdr:sp macro="" textlink="">
          <xdr:nvSpPr>
            <xdr:cNvPr id="7179" name="Drop Down 11" hidden="1">
              <a:extLst>
                <a:ext uri="{63B3BB69-23CF-44E3-9099-C40C66FF867C}">
                  <a14:compatExt spid="_x0000_s7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1</xdr:col>
          <xdr:colOff>1190625</xdr:colOff>
          <xdr:row>29</xdr:row>
          <xdr:rowOff>209550</xdr:rowOff>
        </xdr:to>
        <xdr:sp macro="" textlink="">
          <xdr:nvSpPr>
            <xdr:cNvPr id="7180" name="Drop Down 12" hidden="1">
              <a:extLst>
                <a:ext uri="{63B3BB69-23CF-44E3-9099-C40C66FF867C}">
                  <a14:compatExt spid="_x0000_s7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209550</xdr:rowOff>
        </xdr:from>
        <xdr:to>
          <xdr:col>1</xdr:col>
          <xdr:colOff>1190625</xdr:colOff>
          <xdr:row>30</xdr:row>
          <xdr:rowOff>200025</xdr:rowOff>
        </xdr:to>
        <xdr:sp macro="" textlink="">
          <xdr:nvSpPr>
            <xdr:cNvPr id="7181" name="Drop Down 13" hidden="1">
              <a:extLst>
                <a:ext uri="{63B3BB69-23CF-44E3-9099-C40C66FF867C}">
                  <a14:compatExt spid="_x0000_s7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9525</xdr:rowOff>
        </xdr:from>
        <xdr:to>
          <xdr:col>1</xdr:col>
          <xdr:colOff>1190625</xdr:colOff>
          <xdr:row>31</xdr:row>
          <xdr:rowOff>209550</xdr:rowOff>
        </xdr:to>
        <xdr:sp macro="" textlink="">
          <xdr:nvSpPr>
            <xdr:cNvPr id="7182" name="Drop Down 14" hidden="1">
              <a:extLst>
                <a:ext uri="{63B3BB69-23CF-44E3-9099-C40C66FF867C}">
                  <a14:compatExt spid="_x0000_s7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9525</xdr:rowOff>
        </xdr:from>
        <xdr:to>
          <xdr:col>1</xdr:col>
          <xdr:colOff>1190625</xdr:colOff>
          <xdr:row>32</xdr:row>
          <xdr:rowOff>209550</xdr:rowOff>
        </xdr:to>
        <xdr:sp macro="" textlink="">
          <xdr:nvSpPr>
            <xdr:cNvPr id="7183" name="Drop Down 15" hidden="1">
              <a:extLst>
                <a:ext uri="{63B3BB69-23CF-44E3-9099-C40C66FF867C}">
                  <a14:compatExt spid="_x0000_s7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9525</xdr:rowOff>
        </xdr:from>
        <xdr:to>
          <xdr:col>1</xdr:col>
          <xdr:colOff>1190625</xdr:colOff>
          <xdr:row>34</xdr:row>
          <xdr:rowOff>19050</xdr:rowOff>
        </xdr:to>
        <xdr:sp macro="" textlink="">
          <xdr:nvSpPr>
            <xdr:cNvPr id="7184" name="Drop Down 16" hidden="1">
              <a:extLst>
                <a:ext uri="{63B3BB69-23CF-44E3-9099-C40C66FF867C}">
                  <a14:compatExt spid="_x0000_s7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1</xdr:col>
          <xdr:colOff>1190625</xdr:colOff>
          <xdr:row>35</xdr:row>
          <xdr:rowOff>19050</xdr:rowOff>
        </xdr:to>
        <xdr:sp macro="" textlink="">
          <xdr:nvSpPr>
            <xdr:cNvPr id="7185" name="Drop Down 17" hidden="1">
              <a:extLst>
                <a:ext uri="{63B3BB69-23CF-44E3-9099-C40C66FF867C}">
                  <a14:compatExt spid="_x0000_s7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1</xdr:col>
          <xdr:colOff>1190625</xdr:colOff>
          <xdr:row>36</xdr:row>
          <xdr:rowOff>19050</xdr:rowOff>
        </xdr:to>
        <xdr:sp macro="" textlink="">
          <xdr:nvSpPr>
            <xdr:cNvPr id="7186" name="Drop Down 18" hidden="1">
              <a:extLst>
                <a:ext uri="{63B3BB69-23CF-44E3-9099-C40C66FF867C}">
                  <a14:compatExt spid="_x0000_s7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19050</xdr:rowOff>
        </xdr:from>
        <xdr:to>
          <xdr:col>1</xdr:col>
          <xdr:colOff>1190625</xdr:colOff>
          <xdr:row>37</xdr:row>
          <xdr:rowOff>19050</xdr:rowOff>
        </xdr:to>
        <xdr:sp macro="" textlink="">
          <xdr:nvSpPr>
            <xdr:cNvPr id="7187" name="Drop Down 19" hidden="1">
              <a:extLst>
                <a:ext uri="{63B3BB69-23CF-44E3-9099-C40C66FF867C}">
                  <a14:compatExt spid="_x0000_s7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19050</xdr:rowOff>
        </xdr:from>
        <xdr:to>
          <xdr:col>1</xdr:col>
          <xdr:colOff>1200150</xdr:colOff>
          <xdr:row>42</xdr:row>
          <xdr:rowOff>28575</xdr:rowOff>
        </xdr:to>
        <xdr:sp macro="" textlink="">
          <xdr:nvSpPr>
            <xdr:cNvPr id="7188" name="Drop Down 20" hidden="1">
              <a:extLst>
                <a:ext uri="{63B3BB69-23CF-44E3-9099-C40C66FF867C}">
                  <a14:compatExt spid="_x0000_s7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28575</xdr:rowOff>
        </xdr:from>
        <xdr:to>
          <xdr:col>1</xdr:col>
          <xdr:colOff>1200150</xdr:colOff>
          <xdr:row>43</xdr:row>
          <xdr:rowOff>19050</xdr:rowOff>
        </xdr:to>
        <xdr:sp macro="" textlink="">
          <xdr:nvSpPr>
            <xdr:cNvPr id="7189" name="Drop Down 21" hidden="1">
              <a:extLst>
                <a:ext uri="{63B3BB69-23CF-44E3-9099-C40C66FF867C}">
                  <a14:compatExt spid="_x0000_s71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28575</xdr:rowOff>
        </xdr:from>
        <xdr:to>
          <xdr:col>1</xdr:col>
          <xdr:colOff>1200150</xdr:colOff>
          <xdr:row>44</xdr:row>
          <xdr:rowOff>19050</xdr:rowOff>
        </xdr:to>
        <xdr:sp macro="" textlink="">
          <xdr:nvSpPr>
            <xdr:cNvPr id="7190" name="Drop Down 22" hidden="1">
              <a:extLst>
                <a:ext uri="{63B3BB69-23CF-44E3-9099-C40C66FF867C}">
                  <a14:compatExt spid="_x0000_s7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28575</xdr:rowOff>
        </xdr:from>
        <xdr:to>
          <xdr:col>1</xdr:col>
          <xdr:colOff>1200150</xdr:colOff>
          <xdr:row>45</xdr:row>
          <xdr:rowOff>19050</xdr:rowOff>
        </xdr:to>
        <xdr:sp macro="" textlink="">
          <xdr:nvSpPr>
            <xdr:cNvPr id="7191" name="Drop Down 23" hidden="1">
              <a:extLst>
                <a:ext uri="{63B3BB69-23CF-44E3-9099-C40C66FF867C}">
                  <a14:compatExt spid="_x0000_s7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38100</xdr:rowOff>
        </xdr:from>
        <xdr:to>
          <xdr:col>1</xdr:col>
          <xdr:colOff>1200150</xdr:colOff>
          <xdr:row>46</xdr:row>
          <xdr:rowOff>38100</xdr:rowOff>
        </xdr:to>
        <xdr:sp macro="" textlink="">
          <xdr:nvSpPr>
            <xdr:cNvPr id="7192" name="Drop Down 24" hidden="1">
              <a:extLst>
                <a:ext uri="{63B3BB69-23CF-44E3-9099-C40C66FF867C}">
                  <a14:compatExt spid="_x0000_s7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38100</xdr:rowOff>
        </xdr:from>
        <xdr:to>
          <xdr:col>1</xdr:col>
          <xdr:colOff>1200150</xdr:colOff>
          <xdr:row>47</xdr:row>
          <xdr:rowOff>38100</xdr:rowOff>
        </xdr:to>
        <xdr:sp macro="" textlink="">
          <xdr:nvSpPr>
            <xdr:cNvPr id="7193" name="Drop Down 25" hidden="1">
              <a:extLst>
                <a:ext uri="{63B3BB69-23CF-44E3-9099-C40C66FF867C}">
                  <a14:compatExt spid="_x0000_s7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38100</xdr:rowOff>
        </xdr:from>
        <xdr:to>
          <xdr:col>1</xdr:col>
          <xdr:colOff>1200150</xdr:colOff>
          <xdr:row>48</xdr:row>
          <xdr:rowOff>47625</xdr:rowOff>
        </xdr:to>
        <xdr:sp macro="" textlink="">
          <xdr:nvSpPr>
            <xdr:cNvPr id="7194" name="Drop Down 26" hidden="1">
              <a:extLst>
                <a:ext uri="{63B3BB69-23CF-44E3-9099-C40C66FF867C}">
                  <a14:compatExt spid="_x0000_s7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47625</xdr:rowOff>
        </xdr:from>
        <xdr:to>
          <xdr:col>1</xdr:col>
          <xdr:colOff>1200150</xdr:colOff>
          <xdr:row>49</xdr:row>
          <xdr:rowOff>47625</xdr:rowOff>
        </xdr:to>
        <xdr:sp macro="" textlink="">
          <xdr:nvSpPr>
            <xdr:cNvPr id="7195" name="Drop Down 27" hidden="1">
              <a:extLst>
                <a:ext uri="{63B3BB69-23CF-44E3-9099-C40C66FF867C}">
                  <a14:compatExt spid="_x0000_s7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19050</xdr:rowOff>
        </xdr:from>
        <xdr:to>
          <xdr:col>1</xdr:col>
          <xdr:colOff>1200150</xdr:colOff>
          <xdr:row>66</xdr:row>
          <xdr:rowOff>19050</xdr:rowOff>
        </xdr:to>
        <xdr:sp macro="" textlink="">
          <xdr:nvSpPr>
            <xdr:cNvPr id="7196" name="Drop Down 28" hidden="1">
              <a:extLst>
                <a:ext uri="{63B3BB69-23CF-44E3-9099-C40C66FF867C}">
                  <a14:compatExt spid="_x0000_s7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9525</xdr:rowOff>
        </xdr:from>
        <xdr:to>
          <xdr:col>1</xdr:col>
          <xdr:colOff>1200150</xdr:colOff>
          <xdr:row>67</xdr:row>
          <xdr:rowOff>28575</xdr:rowOff>
        </xdr:to>
        <xdr:sp macro="" textlink="">
          <xdr:nvSpPr>
            <xdr:cNvPr id="7197" name="Drop Down 29" hidden="1">
              <a:extLst>
                <a:ext uri="{63B3BB69-23CF-44E3-9099-C40C66FF867C}">
                  <a14:compatExt spid="_x0000_s7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19050</xdr:rowOff>
        </xdr:from>
        <xdr:to>
          <xdr:col>1</xdr:col>
          <xdr:colOff>1200150</xdr:colOff>
          <xdr:row>68</xdr:row>
          <xdr:rowOff>28575</xdr:rowOff>
        </xdr:to>
        <xdr:sp macro="" textlink="">
          <xdr:nvSpPr>
            <xdr:cNvPr id="7198" name="Drop Down 30" hidden="1">
              <a:extLst>
                <a:ext uri="{63B3BB69-23CF-44E3-9099-C40C66FF867C}">
                  <a14:compatExt spid="_x0000_s7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28575</xdr:rowOff>
        </xdr:from>
        <xdr:to>
          <xdr:col>1</xdr:col>
          <xdr:colOff>1200150</xdr:colOff>
          <xdr:row>70</xdr:row>
          <xdr:rowOff>57150</xdr:rowOff>
        </xdr:to>
        <xdr:sp macro="" textlink="">
          <xdr:nvSpPr>
            <xdr:cNvPr id="7200" name="Drop Down 32" hidden="1">
              <a:extLst>
                <a:ext uri="{63B3BB69-23CF-44E3-9099-C40C66FF867C}">
                  <a14:compatExt spid="_x0000_s7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19050</xdr:rowOff>
        </xdr:from>
        <xdr:to>
          <xdr:col>1</xdr:col>
          <xdr:colOff>1200150</xdr:colOff>
          <xdr:row>69</xdr:row>
          <xdr:rowOff>28575</xdr:rowOff>
        </xdr:to>
        <xdr:sp macro="" textlink="">
          <xdr:nvSpPr>
            <xdr:cNvPr id="7199" name="Drop Down 31" hidden="1">
              <a:extLst>
                <a:ext uri="{63B3BB69-23CF-44E3-9099-C40C66FF867C}">
                  <a14:compatExt spid="_x0000_s7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28575</xdr:rowOff>
        </xdr:from>
        <xdr:to>
          <xdr:col>1</xdr:col>
          <xdr:colOff>1200150</xdr:colOff>
          <xdr:row>71</xdr:row>
          <xdr:rowOff>47625</xdr:rowOff>
        </xdr:to>
        <xdr:sp macro="" textlink="">
          <xdr:nvSpPr>
            <xdr:cNvPr id="7201" name="Drop Down 33" hidden="1">
              <a:extLst>
                <a:ext uri="{63B3BB69-23CF-44E3-9099-C40C66FF867C}">
                  <a14:compatExt spid="_x0000_s7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28575</xdr:rowOff>
        </xdr:from>
        <xdr:to>
          <xdr:col>1</xdr:col>
          <xdr:colOff>1200150</xdr:colOff>
          <xdr:row>72</xdr:row>
          <xdr:rowOff>47625</xdr:rowOff>
        </xdr:to>
        <xdr:sp macro="" textlink="">
          <xdr:nvSpPr>
            <xdr:cNvPr id="7202" name="Drop Down 34" hidden="1">
              <a:extLst>
                <a:ext uri="{63B3BB69-23CF-44E3-9099-C40C66FF867C}">
                  <a14:compatExt spid="_x0000_s7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28575</xdr:rowOff>
        </xdr:from>
        <xdr:to>
          <xdr:col>1</xdr:col>
          <xdr:colOff>1200150</xdr:colOff>
          <xdr:row>168</xdr:row>
          <xdr:rowOff>19050</xdr:rowOff>
        </xdr:to>
        <xdr:sp macro="" textlink="">
          <xdr:nvSpPr>
            <xdr:cNvPr id="7203" name="Drop Down 35" hidden="1">
              <a:extLst>
                <a:ext uri="{63B3BB69-23CF-44E3-9099-C40C66FF867C}">
                  <a14:compatExt spid="_x0000_s7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19050</xdr:rowOff>
        </xdr:from>
        <xdr:to>
          <xdr:col>1</xdr:col>
          <xdr:colOff>1190625</xdr:colOff>
          <xdr:row>54</xdr:row>
          <xdr:rowOff>47625</xdr:rowOff>
        </xdr:to>
        <xdr:sp macro="" textlink="">
          <xdr:nvSpPr>
            <xdr:cNvPr id="7204" name="Drop Down 36" hidden="1">
              <a:extLst>
                <a:ext uri="{63B3BB69-23CF-44E3-9099-C40C66FF867C}">
                  <a14:compatExt spid="_x0000_s7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19050</xdr:rowOff>
        </xdr:from>
        <xdr:to>
          <xdr:col>1</xdr:col>
          <xdr:colOff>1190625</xdr:colOff>
          <xdr:row>55</xdr:row>
          <xdr:rowOff>47625</xdr:rowOff>
        </xdr:to>
        <xdr:sp macro="" textlink="">
          <xdr:nvSpPr>
            <xdr:cNvPr id="7205" name="Drop Down 37" hidden="1">
              <a:extLst>
                <a:ext uri="{63B3BB69-23CF-44E3-9099-C40C66FF867C}">
                  <a14:compatExt spid="_x0000_s7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28575</xdr:rowOff>
        </xdr:from>
        <xdr:to>
          <xdr:col>1</xdr:col>
          <xdr:colOff>1190625</xdr:colOff>
          <xdr:row>56</xdr:row>
          <xdr:rowOff>47625</xdr:rowOff>
        </xdr:to>
        <xdr:sp macro="" textlink="">
          <xdr:nvSpPr>
            <xdr:cNvPr id="7206" name="Drop Down 38" hidden="1">
              <a:extLst>
                <a:ext uri="{63B3BB69-23CF-44E3-9099-C40C66FF867C}">
                  <a14:compatExt spid="_x0000_s7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28575</xdr:rowOff>
        </xdr:from>
        <xdr:to>
          <xdr:col>1</xdr:col>
          <xdr:colOff>1190625</xdr:colOff>
          <xdr:row>57</xdr:row>
          <xdr:rowOff>47625</xdr:rowOff>
        </xdr:to>
        <xdr:sp macro="" textlink="">
          <xdr:nvSpPr>
            <xdr:cNvPr id="7207" name="Drop Down 39" hidden="1">
              <a:extLst>
                <a:ext uri="{63B3BB69-23CF-44E3-9099-C40C66FF867C}">
                  <a14:compatExt spid="_x0000_s7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28575</xdr:rowOff>
        </xdr:from>
        <xdr:to>
          <xdr:col>1</xdr:col>
          <xdr:colOff>1190625</xdr:colOff>
          <xdr:row>58</xdr:row>
          <xdr:rowOff>57150</xdr:rowOff>
        </xdr:to>
        <xdr:sp macro="" textlink="">
          <xdr:nvSpPr>
            <xdr:cNvPr id="7208" name="Drop Down 40" hidden="1">
              <a:extLst>
                <a:ext uri="{63B3BB69-23CF-44E3-9099-C40C66FF867C}">
                  <a14:compatExt spid="_x0000_s7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58</xdr:row>
          <xdr:rowOff>38100</xdr:rowOff>
        </xdr:from>
        <xdr:to>
          <xdr:col>1</xdr:col>
          <xdr:colOff>1190625</xdr:colOff>
          <xdr:row>59</xdr:row>
          <xdr:rowOff>57150</xdr:rowOff>
        </xdr:to>
        <xdr:sp macro="" textlink="">
          <xdr:nvSpPr>
            <xdr:cNvPr id="7209" name="Drop Down 41" hidden="1">
              <a:extLst>
                <a:ext uri="{63B3BB69-23CF-44E3-9099-C40C66FF867C}">
                  <a14:compatExt spid="_x0000_s7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38100</xdr:rowOff>
        </xdr:from>
        <xdr:to>
          <xdr:col>1</xdr:col>
          <xdr:colOff>1190625</xdr:colOff>
          <xdr:row>60</xdr:row>
          <xdr:rowOff>66675</xdr:rowOff>
        </xdr:to>
        <xdr:sp macro="" textlink="">
          <xdr:nvSpPr>
            <xdr:cNvPr id="7210" name="Drop Down 42" hidden="1">
              <a:extLst>
                <a:ext uri="{63B3BB69-23CF-44E3-9099-C40C66FF867C}">
                  <a14:compatExt spid="_x0000_s7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60</xdr:row>
          <xdr:rowOff>47625</xdr:rowOff>
        </xdr:from>
        <xdr:to>
          <xdr:col>1</xdr:col>
          <xdr:colOff>1190625</xdr:colOff>
          <xdr:row>61</xdr:row>
          <xdr:rowOff>57150</xdr:rowOff>
        </xdr:to>
        <xdr:sp macro="" textlink="">
          <xdr:nvSpPr>
            <xdr:cNvPr id="7211" name="Drop Down 43" hidden="1">
              <a:extLst>
                <a:ext uri="{63B3BB69-23CF-44E3-9099-C40C66FF867C}">
                  <a14:compatExt spid="_x0000_s7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64</xdr:row>
          <xdr:rowOff>133350</xdr:rowOff>
        </xdr:from>
        <xdr:to>
          <xdr:col>7</xdr:col>
          <xdr:colOff>0</xdr:colOff>
          <xdr:row>65</xdr:row>
          <xdr:rowOff>190500</xdr:rowOff>
        </xdr:to>
        <xdr:sp macro="" textlink="">
          <xdr:nvSpPr>
            <xdr:cNvPr id="7212" name="Drop Down 44" hidden="1">
              <a:extLst>
                <a:ext uri="{63B3BB69-23CF-44E3-9099-C40C66FF867C}">
                  <a14:compatExt spid="_x0000_s7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65</xdr:row>
          <xdr:rowOff>180975</xdr:rowOff>
        </xdr:from>
        <xdr:to>
          <xdr:col>7</xdr:col>
          <xdr:colOff>0</xdr:colOff>
          <xdr:row>66</xdr:row>
          <xdr:rowOff>200025</xdr:rowOff>
        </xdr:to>
        <xdr:sp macro="" textlink="">
          <xdr:nvSpPr>
            <xdr:cNvPr id="7213" name="Drop Down 45" hidden="1">
              <a:extLst>
                <a:ext uri="{63B3BB69-23CF-44E3-9099-C40C66FF867C}">
                  <a14:compatExt spid="_x0000_s7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66</xdr:row>
          <xdr:rowOff>190500</xdr:rowOff>
        </xdr:from>
        <xdr:to>
          <xdr:col>7</xdr:col>
          <xdr:colOff>0</xdr:colOff>
          <xdr:row>67</xdr:row>
          <xdr:rowOff>200025</xdr:rowOff>
        </xdr:to>
        <xdr:sp macro="" textlink="">
          <xdr:nvSpPr>
            <xdr:cNvPr id="7214" name="Drop Down 46" hidden="1">
              <a:extLst>
                <a:ext uri="{63B3BB69-23CF-44E3-9099-C40C66FF867C}">
                  <a14:compatExt spid="_x0000_s7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67</xdr:row>
          <xdr:rowOff>190500</xdr:rowOff>
        </xdr:from>
        <xdr:to>
          <xdr:col>7</xdr:col>
          <xdr:colOff>0</xdr:colOff>
          <xdr:row>68</xdr:row>
          <xdr:rowOff>200025</xdr:rowOff>
        </xdr:to>
        <xdr:sp macro="" textlink="">
          <xdr:nvSpPr>
            <xdr:cNvPr id="7215" name="Drop Down 47" hidden="1">
              <a:extLst>
                <a:ext uri="{63B3BB69-23CF-44E3-9099-C40C66FF867C}">
                  <a14:compatExt spid="_x0000_s7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68</xdr:row>
          <xdr:rowOff>190500</xdr:rowOff>
        </xdr:from>
        <xdr:to>
          <xdr:col>7</xdr:col>
          <xdr:colOff>0</xdr:colOff>
          <xdr:row>70</xdr:row>
          <xdr:rowOff>0</xdr:rowOff>
        </xdr:to>
        <xdr:sp macro="" textlink="">
          <xdr:nvSpPr>
            <xdr:cNvPr id="7216" name="Drop Down 48" hidden="1">
              <a:extLst>
                <a:ext uri="{63B3BB69-23CF-44E3-9099-C40C66FF867C}">
                  <a14:compatExt spid="_x0000_s7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69</xdr:row>
          <xdr:rowOff>200025</xdr:rowOff>
        </xdr:from>
        <xdr:to>
          <xdr:col>7</xdr:col>
          <xdr:colOff>0</xdr:colOff>
          <xdr:row>71</xdr:row>
          <xdr:rowOff>0</xdr:rowOff>
        </xdr:to>
        <xdr:sp macro="" textlink="">
          <xdr:nvSpPr>
            <xdr:cNvPr id="7217" name="Drop Down 49" hidden="1">
              <a:extLst>
                <a:ext uri="{63B3BB69-23CF-44E3-9099-C40C66FF867C}">
                  <a14:compatExt spid="_x0000_s7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200025</xdr:rowOff>
        </xdr:from>
        <xdr:to>
          <xdr:col>7</xdr:col>
          <xdr:colOff>0</xdr:colOff>
          <xdr:row>72</xdr:row>
          <xdr:rowOff>0</xdr:rowOff>
        </xdr:to>
        <xdr:sp macro="" textlink="">
          <xdr:nvSpPr>
            <xdr:cNvPr id="7218" name="Drop Down 50" hidden="1">
              <a:extLst>
                <a:ext uri="{63B3BB69-23CF-44E3-9099-C40C66FF867C}">
                  <a14:compatExt spid="_x0000_s7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200025</xdr:rowOff>
        </xdr:from>
        <xdr:to>
          <xdr:col>7</xdr:col>
          <xdr:colOff>0</xdr:colOff>
          <xdr:row>72</xdr:row>
          <xdr:rowOff>200025</xdr:rowOff>
        </xdr:to>
        <xdr:sp macro="" textlink="">
          <xdr:nvSpPr>
            <xdr:cNvPr id="7219" name="Drop Down 51" hidden="1">
              <a:extLst>
                <a:ext uri="{63B3BB69-23CF-44E3-9099-C40C66FF867C}">
                  <a14:compatExt spid="_x0000_s7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171</xdr:row>
          <xdr:rowOff>142875</xdr:rowOff>
        </xdr:from>
        <xdr:to>
          <xdr:col>2</xdr:col>
          <xdr:colOff>0</xdr:colOff>
          <xdr:row>172</xdr:row>
          <xdr:rowOff>200025</xdr:rowOff>
        </xdr:to>
        <xdr:sp macro="" textlink="">
          <xdr:nvSpPr>
            <xdr:cNvPr id="7228" name="Drop Down 60" hidden="1">
              <a:extLst>
                <a:ext uri="{63B3BB69-23CF-44E3-9099-C40C66FF867C}">
                  <a14:compatExt spid="_x0000_s7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172</xdr:row>
          <xdr:rowOff>190500</xdr:rowOff>
        </xdr:from>
        <xdr:to>
          <xdr:col>2</xdr:col>
          <xdr:colOff>0</xdr:colOff>
          <xdr:row>174</xdr:row>
          <xdr:rowOff>0</xdr:rowOff>
        </xdr:to>
        <xdr:sp macro="" textlink="">
          <xdr:nvSpPr>
            <xdr:cNvPr id="7229" name="Drop Down 61" hidden="1">
              <a:extLst>
                <a:ext uri="{63B3BB69-23CF-44E3-9099-C40C66FF867C}">
                  <a14:compatExt spid="_x0000_s7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173</xdr:row>
          <xdr:rowOff>200025</xdr:rowOff>
        </xdr:from>
        <xdr:to>
          <xdr:col>2</xdr:col>
          <xdr:colOff>0</xdr:colOff>
          <xdr:row>175</xdr:row>
          <xdr:rowOff>0</xdr:rowOff>
        </xdr:to>
        <xdr:sp macro="" textlink="">
          <xdr:nvSpPr>
            <xdr:cNvPr id="7230" name="Drop Down 62" hidden="1">
              <a:extLst>
                <a:ext uri="{63B3BB69-23CF-44E3-9099-C40C66FF867C}">
                  <a14:compatExt spid="_x0000_s7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174</xdr:row>
          <xdr:rowOff>200025</xdr:rowOff>
        </xdr:from>
        <xdr:to>
          <xdr:col>2</xdr:col>
          <xdr:colOff>0</xdr:colOff>
          <xdr:row>176</xdr:row>
          <xdr:rowOff>0</xdr:rowOff>
        </xdr:to>
        <xdr:sp macro="" textlink="">
          <xdr:nvSpPr>
            <xdr:cNvPr id="7231" name="Drop Down 63" hidden="1">
              <a:extLst>
                <a:ext uri="{63B3BB69-23CF-44E3-9099-C40C66FF867C}">
                  <a14:compatExt spid="_x0000_s7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175</xdr:row>
          <xdr:rowOff>200025</xdr:rowOff>
        </xdr:from>
        <xdr:to>
          <xdr:col>2</xdr:col>
          <xdr:colOff>0</xdr:colOff>
          <xdr:row>177</xdr:row>
          <xdr:rowOff>9525</xdr:rowOff>
        </xdr:to>
        <xdr:sp macro="" textlink="">
          <xdr:nvSpPr>
            <xdr:cNvPr id="7232" name="Drop Down 64" hidden="1">
              <a:extLst>
                <a:ext uri="{63B3BB69-23CF-44E3-9099-C40C66FF867C}">
                  <a14:compatExt spid="_x0000_s7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177</xdr:row>
          <xdr:rowOff>0</xdr:rowOff>
        </xdr:from>
        <xdr:to>
          <xdr:col>2</xdr:col>
          <xdr:colOff>0</xdr:colOff>
          <xdr:row>178</xdr:row>
          <xdr:rowOff>9525</xdr:rowOff>
        </xdr:to>
        <xdr:sp macro="" textlink="">
          <xdr:nvSpPr>
            <xdr:cNvPr id="7233" name="Drop Down 65" hidden="1">
              <a:extLst>
                <a:ext uri="{63B3BB69-23CF-44E3-9099-C40C66FF867C}">
                  <a14:compatExt spid="_x0000_s7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178</xdr:row>
          <xdr:rowOff>0</xdr:rowOff>
        </xdr:from>
        <xdr:to>
          <xdr:col>2</xdr:col>
          <xdr:colOff>0</xdr:colOff>
          <xdr:row>179</xdr:row>
          <xdr:rowOff>9525</xdr:rowOff>
        </xdr:to>
        <xdr:sp macro="" textlink="">
          <xdr:nvSpPr>
            <xdr:cNvPr id="7234" name="Drop Down 66" hidden="1">
              <a:extLst>
                <a:ext uri="{63B3BB69-23CF-44E3-9099-C40C66FF867C}">
                  <a14:compatExt spid="_x0000_s7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171</xdr:row>
          <xdr:rowOff>142875</xdr:rowOff>
        </xdr:from>
        <xdr:to>
          <xdr:col>7</xdr:col>
          <xdr:colOff>0</xdr:colOff>
          <xdr:row>172</xdr:row>
          <xdr:rowOff>200025</xdr:rowOff>
        </xdr:to>
        <xdr:sp macro="" textlink="">
          <xdr:nvSpPr>
            <xdr:cNvPr id="7235" name="Drop Down 67" hidden="1">
              <a:extLst>
                <a:ext uri="{63B3BB69-23CF-44E3-9099-C40C66FF867C}">
                  <a14:compatExt spid="_x0000_s7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172</xdr:row>
          <xdr:rowOff>190500</xdr:rowOff>
        </xdr:from>
        <xdr:to>
          <xdr:col>7</xdr:col>
          <xdr:colOff>0</xdr:colOff>
          <xdr:row>174</xdr:row>
          <xdr:rowOff>0</xdr:rowOff>
        </xdr:to>
        <xdr:sp macro="" textlink="">
          <xdr:nvSpPr>
            <xdr:cNvPr id="7236" name="Drop Down 68" hidden="1">
              <a:extLst>
                <a:ext uri="{63B3BB69-23CF-44E3-9099-C40C66FF867C}">
                  <a14:compatExt spid="_x0000_s7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173</xdr:row>
          <xdr:rowOff>200025</xdr:rowOff>
        </xdr:from>
        <xdr:to>
          <xdr:col>7</xdr:col>
          <xdr:colOff>0</xdr:colOff>
          <xdr:row>175</xdr:row>
          <xdr:rowOff>0</xdr:rowOff>
        </xdr:to>
        <xdr:sp macro="" textlink="">
          <xdr:nvSpPr>
            <xdr:cNvPr id="7237" name="Drop Down 69" hidden="1">
              <a:extLst>
                <a:ext uri="{63B3BB69-23CF-44E3-9099-C40C66FF867C}">
                  <a14:compatExt spid="_x0000_s7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174</xdr:row>
          <xdr:rowOff>200025</xdr:rowOff>
        </xdr:from>
        <xdr:to>
          <xdr:col>7</xdr:col>
          <xdr:colOff>0</xdr:colOff>
          <xdr:row>176</xdr:row>
          <xdr:rowOff>0</xdr:rowOff>
        </xdr:to>
        <xdr:sp macro="" textlink="">
          <xdr:nvSpPr>
            <xdr:cNvPr id="7238" name="Drop Down 70" hidden="1">
              <a:extLst>
                <a:ext uri="{63B3BB69-23CF-44E3-9099-C40C66FF867C}">
                  <a14:compatExt spid="_x0000_s7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175</xdr:row>
          <xdr:rowOff>200025</xdr:rowOff>
        </xdr:from>
        <xdr:to>
          <xdr:col>7</xdr:col>
          <xdr:colOff>0</xdr:colOff>
          <xdr:row>177</xdr:row>
          <xdr:rowOff>9525</xdr:rowOff>
        </xdr:to>
        <xdr:sp macro="" textlink="">
          <xdr:nvSpPr>
            <xdr:cNvPr id="7239" name="Drop Down 71" hidden="1">
              <a:extLst>
                <a:ext uri="{63B3BB69-23CF-44E3-9099-C40C66FF867C}">
                  <a14:compatExt spid="_x0000_s7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177</xdr:row>
          <xdr:rowOff>0</xdr:rowOff>
        </xdr:from>
        <xdr:to>
          <xdr:col>7</xdr:col>
          <xdr:colOff>0</xdr:colOff>
          <xdr:row>178</xdr:row>
          <xdr:rowOff>9525</xdr:rowOff>
        </xdr:to>
        <xdr:sp macro="" textlink="">
          <xdr:nvSpPr>
            <xdr:cNvPr id="7240" name="Drop Down 72" hidden="1">
              <a:extLst>
                <a:ext uri="{63B3BB69-23CF-44E3-9099-C40C66FF867C}">
                  <a14:compatExt spid="_x0000_s7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178</xdr:row>
          <xdr:rowOff>0</xdr:rowOff>
        </xdr:from>
        <xdr:to>
          <xdr:col>7</xdr:col>
          <xdr:colOff>0</xdr:colOff>
          <xdr:row>179</xdr:row>
          <xdr:rowOff>9525</xdr:rowOff>
        </xdr:to>
        <xdr:sp macro="" textlink="">
          <xdr:nvSpPr>
            <xdr:cNvPr id="7241" name="Drop Down 73" hidden="1">
              <a:extLst>
                <a:ext uri="{63B3BB69-23CF-44E3-9099-C40C66FF867C}">
                  <a14:compatExt spid="_x0000_s7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179</xdr:row>
          <xdr:rowOff>0</xdr:rowOff>
        </xdr:from>
        <xdr:to>
          <xdr:col>2</xdr:col>
          <xdr:colOff>0</xdr:colOff>
          <xdr:row>179</xdr:row>
          <xdr:rowOff>209550</xdr:rowOff>
        </xdr:to>
        <xdr:sp macro="" textlink="">
          <xdr:nvSpPr>
            <xdr:cNvPr id="7242" name="Drop Down 74" hidden="1">
              <a:extLst>
                <a:ext uri="{63B3BB69-23CF-44E3-9099-C40C66FF867C}">
                  <a14:compatExt spid="_x0000_s7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179</xdr:row>
          <xdr:rowOff>0</xdr:rowOff>
        </xdr:from>
        <xdr:to>
          <xdr:col>7</xdr:col>
          <xdr:colOff>0</xdr:colOff>
          <xdr:row>179</xdr:row>
          <xdr:rowOff>209550</xdr:rowOff>
        </xdr:to>
        <xdr:sp macro="" textlink="">
          <xdr:nvSpPr>
            <xdr:cNvPr id="7243" name="Drop Down 75" hidden="1">
              <a:extLst>
                <a:ext uri="{63B3BB69-23CF-44E3-9099-C40C66FF867C}">
                  <a14:compatExt spid="_x0000_s7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1181100</xdr:colOff>
      <xdr:row>0</xdr:row>
      <xdr:rowOff>114300</xdr:rowOff>
    </xdr:from>
    <xdr:to>
      <xdr:col>1</xdr:col>
      <xdr:colOff>590550</xdr:colOff>
      <xdr:row>0</xdr:row>
      <xdr:rowOff>533400</xdr:rowOff>
    </xdr:to>
    <xdr:pic>
      <xdr:nvPicPr>
        <xdr:cNvPr id="1271" name="Picture 89"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1181100" y="114300"/>
          <a:ext cx="647700" cy="419100"/>
        </a:xfrm>
        <a:prstGeom prst="rect">
          <a:avLst/>
        </a:prstGeom>
        <a:noFill/>
        <a:ln w="9525">
          <a:noFill/>
          <a:miter lim="800000"/>
          <a:headEnd/>
          <a:tailEnd/>
        </a:ln>
      </xdr:spPr>
    </xdr:pic>
    <xdr:clientData/>
  </xdr:twoCellAnchor>
  <xdr:twoCellAnchor editAs="absolute">
    <xdr:from>
      <xdr:col>6</xdr:col>
      <xdr:colOff>485775</xdr:colOff>
      <xdr:row>0</xdr:row>
      <xdr:rowOff>104775</xdr:rowOff>
    </xdr:from>
    <xdr:to>
      <xdr:col>7</xdr:col>
      <xdr:colOff>219075</xdr:colOff>
      <xdr:row>0</xdr:row>
      <xdr:rowOff>523875</xdr:rowOff>
    </xdr:to>
    <xdr:pic>
      <xdr:nvPicPr>
        <xdr:cNvPr id="1272" name="Picture 90" descr="NEWLOGOC"/>
        <xdr:cNvPicPr>
          <a:picLocks noChangeAspect="1" noChangeArrowheads="1"/>
        </xdr:cNvPicPr>
      </xdr:nvPicPr>
      <xdr:blipFill>
        <a:blip xmlns:r="http://schemas.openxmlformats.org/officeDocument/2006/relationships" r:embed="rId2" cstate="print"/>
        <a:srcRect/>
        <a:stretch>
          <a:fillRect/>
        </a:stretch>
      </xdr:blipFill>
      <xdr:spPr bwMode="auto">
        <a:xfrm>
          <a:off x="5057775" y="104775"/>
          <a:ext cx="647700" cy="4191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6</xdr:col>
          <xdr:colOff>142875</xdr:colOff>
          <xdr:row>1</xdr:row>
          <xdr:rowOff>266700</xdr:rowOff>
        </xdr:from>
        <xdr:to>
          <xdr:col>6</xdr:col>
          <xdr:colOff>628650</xdr:colOff>
          <xdr:row>3</xdr:row>
          <xdr:rowOff>66675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xdr:row>
          <xdr:rowOff>266700</xdr:rowOff>
        </xdr:from>
        <xdr:to>
          <xdr:col>7</xdr:col>
          <xdr:colOff>495300</xdr:colOff>
          <xdr:row>3</xdr:row>
          <xdr:rowOff>76200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xdr:row>
          <xdr:rowOff>152400</xdr:rowOff>
        </xdr:from>
        <xdr:to>
          <xdr:col>6</xdr:col>
          <xdr:colOff>628650</xdr:colOff>
          <xdr:row>4</xdr:row>
          <xdr:rowOff>57150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xdr:row>
          <xdr:rowOff>142875</xdr:rowOff>
        </xdr:from>
        <xdr:to>
          <xdr:col>7</xdr:col>
          <xdr:colOff>495300</xdr:colOff>
          <xdr:row>4</xdr:row>
          <xdr:rowOff>57150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xdr:row>
          <xdr:rowOff>152400</xdr:rowOff>
        </xdr:from>
        <xdr:to>
          <xdr:col>6</xdr:col>
          <xdr:colOff>628650</xdr:colOff>
          <xdr:row>5</xdr:row>
          <xdr:rowOff>57150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xdr:row>
          <xdr:rowOff>142875</xdr:rowOff>
        </xdr:from>
        <xdr:to>
          <xdr:col>7</xdr:col>
          <xdr:colOff>495300</xdr:colOff>
          <xdr:row>5</xdr:row>
          <xdr:rowOff>57150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xdr:row>
          <xdr:rowOff>152400</xdr:rowOff>
        </xdr:from>
        <xdr:to>
          <xdr:col>6</xdr:col>
          <xdr:colOff>628650</xdr:colOff>
          <xdr:row>6</xdr:row>
          <xdr:rowOff>57150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xdr:row>
          <xdr:rowOff>142875</xdr:rowOff>
        </xdr:from>
        <xdr:to>
          <xdr:col>7</xdr:col>
          <xdr:colOff>495300</xdr:colOff>
          <xdr:row>6</xdr:row>
          <xdr:rowOff>57150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xdr:row>
          <xdr:rowOff>152400</xdr:rowOff>
        </xdr:from>
        <xdr:to>
          <xdr:col>6</xdr:col>
          <xdr:colOff>628650</xdr:colOff>
          <xdr:row>7</xdr:row>
          <xdr:rowOff>57150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142875</xdr:rowOff>
        </xdr:from>
        <xdr:to>
          <xdr:col>7</xdr:col>
          <xdr:colOff>495300</xdr:colOff>
          <xdr:row>7</xdr:row>
          <xdr:rowOff>57150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xdr:row>
          <xdr:rowOff>152400</xdr:rowOff>
        </xdr:from>
        <xdr:to>
          <xdr:col>6</xdr:col>
          <xdr:colOff>628650</xdr:colOff>
          <xdr:row>8</xdr:row>
          <xdr:rowOff>57150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142875</xdr:rowOff>
        </xdr:from>
        <xdr:to>
          <xdr:col>7</xdr:col>
          <xdr:colOff>495300</xdr:colOff>
          <xdr:row>8</xdr:row>
          <xdr:rowOff>57150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152400</xdr:rowOff>
        </xdr:from>
        <xdr:to>
          <xdr:col>6</xdr:col>
          <xdr:colOff>628650</xdr:colOff>
          <xdr:row>9</xdr:row>
          <xdr:rowOff>57150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142875</xdr:rowOff>
        </xdr:from>
        <xdr:to>
          <xdr:col>7</xdr:col>
          <xdr:colOff>495300</xdr:colOff>
          <xdr:row>9</xdr:row>
          <xdr:rowOff>57150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152400</xdr:rowOff>
        </xdr:from>
        <xdr:to>
          <xdr:col>6</xdr:col>
          <xdr:colOff>628650</xdr:colOff>
          <xdr:row>10</xdr:row>
          <xdr:rowOff>57150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xdr:row>
          <xdr:rowOff>142875</xdr:rowOff>
        </xdr:from>
        <xdr:to>
          <xdr:col>7</xdr:col>
          <xdr:colOff>495300</xdr:colOff>
          <xdr:row>10</xdr:row>
          <xdr:rowOff>57150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152400</xdr:rowOff>
        </xdr:from>
        <xdr:to>
          <xdr:col>6</xdr:col>
          <xdr:colOff>628650</xdr:colOff>
          <xdr:row>11</xdr:row>
          <xdr:rowOff>57150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xdr:row>
          <xdr:rowOff>142875</xdr:rowOff>
        </xdr:from>
        <xdr:to>
          <xdr:col>7</xdr:col>
          <xdr:colOff>495300</xdr:colOff>
          <xdr:row>11</xdr:row>
          <xdr:rowOff>57150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xdr:row>
          <xdr:rowOff>152400</xdr:rowOff>
        </xdr:from>
        <xdr:to>
          <xdr:col>6</xdr:col>
          <xdr:colOff>628650</xdr:colOff>
          <xdr:row>12</xdr:row>
          <xdr:rowOff>57150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xdr:row>
          <xdr:rowOff>142875</xdr:rowOff>
        </xdr:from>
        <xdr:to>
          <xdr:col>7</xdr:col>
          <xdr:colOff>495300</xdr:colOff>
          <xdr:row>12</xdr:row>
          <xdr:rowOff>57150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xdr:row>
          <xdr:rowOff>152400</xdr:rowOff>
        </xdr:from>
        <xdr:to>
          <xdr:col>6</xdr:col>
          <xdr:colOff>628650</xdr:colOff>
          <xdr:row>13</xdr:row>
          <xdr:rowOff>57150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xdr:row>
          <xdr:rowOff>142875</xdr:rowOff>
        </xdr:from>
        <xdr:to>
          <xdr:col>7</xdr:col>
          <xdr:colOff>495300</xdr:colOff>
          <xdr:row>13</xdr:row>
          <xdr:rowOff>57150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152400</xdr:rowOff>
        </xdr:from>
        <xdr:to>
          <xdr:col>6</xdr:col>
          <xdr:colOff>628650</xdr:colOff>
          <xdr:row>14</xdr:row>
          <xdr:rowOff>57150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142875</xdr:rowOff>
        </xdr:from>
        <xdr:to>
          <xdr:col>7</xdr:col>
          <xdr:colOff>495300</xdr:colOff>
          <xdr:row>14</xdr:row>
          <xdr:rowOff>57150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152400</xdr:rowOff>
        </xdr:from>
        <xdr:to>
          <xdr:col>6</xdr:col>
          <xdr:colOff>628650</xdr:colOff>
          <xdr:row>15</xdr:row>
          <xdr:rowOff>57150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142875</xdr:rowOff>
        </xdr:from>
        <xdr:to>
          <xdr:col>7</xdr:col>
          <xdr:colOff>495300</xdr:colOff>
          <xdr:row>15</xdr:row>
          <xdr:rowOff>57150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152400</xdr:rowOff>
        </xdr:from>
        <xdr:to>
          <xdr:col>6</xdr:col>
          <xdr:colOff>628650</xdr:colOff>
          <xdr:row>16</xdr:row>
          <xdr:rowOff>57150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142875</xdr:rowOff>
        </xdr:from>
        <xdr:to>
          <xdr:col>7</xdr:col>
          <xdr:colOff>495300</xdr:colOff>
          <xdr:row>16</xdr:row>
          <xdr:rowOff>57150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xdr:row>
          <xdr:rowOff>152400</xdr:rowOff>
        </xdr:from>
        <xdr:to>
          <xdr:col>6</xdr:col>
          <xdr:colOff>628650</xdr:colOff>
          <xdr:row>17</xdr:row>
          <xdr:rowOff>57150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142875</xdr:rowOff>
        </xdr:from>
        <xdr:to>
          <xdr:col>7</xdr:col>
          <xdr:colOff>495300</xdr:colOff>
          <xdr:row>17</xdr:row>
          <xdr:rowOff>57150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152400</xdr:rowOff>
        </xdr:from>
        <xdr:to>
          <xdr:col>6</xdr:col>
          <xdr:colOff>628650</xdr:colOff>
          <xdr:row>18</xdr:row>
          <xdr:rowOff>57150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142875</xdr:rowOff>
        </xdr:from>
        <xdr:to>
          <xdr:col>7</xdr:col>
          <xdr:colOff>495300</xdr:colOff>
          <xdr:row>18</xdr:row>
          <xdr:rowOff>57150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152400</xdr:rowOff>
        </xdr:from>
        <xdr:to>
          <xdr:col>6</xdr:col>
          <xdr:colOff>628650</xdr:colOff>
          <xdr:row>19</xdr:row>
          <xdr:rowOff>57150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142875</xdr:rowOff>
        </xdr:from>
        <xdr:to>
          <xdr:col>7</xdr:col>
          <xdr:colOff>495300</xdr:colOff>
          <xdr:row>19</xdr:row>
          <xdr:rowOff>57150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18</xdr:row>
          <xdr:rowOff>152400</xdr:rowOff>
        </xdr:from>
        <xdr:to>
          <xdr:col>6</xdr:col>
          <xdr:colOff>628650</xdr:colOff>
          <xdr:row>20</xdr:row>
          <xdr:rowOff>57150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xdr:row>
          <xdr:rowOff>142875</xdr:rowOff>
        </xdr:from>
        <xdr:to>
          <xdr:col>7</xdr:col>
          <xdr:colOff>495300</xdr:colOff>
          <xdr:row>20</xdr:row>
          <xdr:rowOff>57150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152400</xdr:rowOff>
        </xdr:from>
        <xdr:to>
          <xdr:col>6</xdr:col>
          <xdr:colOff>628650</xdr:colOff>
          <xdr:row>21</xdr:row>
          <xdr:rowOff>57150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142875</xdr:rowOff>
        </xdr:from>
        <xdr:to>
          <xdr:col>7</xdr:col>
          <xdr:colOff>495300</xdr:colOff>
          <xdr:row>21</xdr:row>
          <xdr:rowOff>57150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152400</xdr:rowOff>
        </xdr:from>
        <xdr:to>
          <xdr:col>6</xdr:col>
          <xdr:colOff>628650</xdr:colOff>
          <xdr:row>22</xdr:row>
          <xdr:rowOff>57150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142875</xdr:rowOff>
        </xdr:from>
        <xdr:to>
          <xdr:col>7</xdr:col>
          <xdr:colOff>495300</xdr:colOff>
          <xdr:row>22</xdr:row>
          <xdr:rowOff>57150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0</xdr:row>
      <xdr:rowOff>76200</xdr:rowOff>
    </xdr:from>
    <xdr:to>
      <xdr:col>1</xdr:col>
      <xdr:colOff>1076325</xdr:colOff>
      <xdr:row>2</xdr:row>
      <xdr:rowOff>76200</xdr:rowOff>
    </xdr:to>
    <xdr:pic>
      <xdr:nvPicPr>
        <xdr:cNvPr id="2132" name="Picture 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428625" y="76200"/>
          <a:ext cx="647700" cy="4286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37</xdr:row>
          <xdr:rowOff>19050</xdr:rowOff>
        </xdr:from>
        <xdr:to>
          <xdr:col>3</xdr:col>
          <xdr:colOff>28575</xdr:colOff>
          <xdr:row>38</xdr:row>
          <xdr:rowOff>85725</xdr:rowOff>
        </xdr:to>
        <xdr:sp macro="" textlink="">
          <xdr:nvSpPr>
            <xdr:cNvPr id="2130" name="Drop Down 82" hidden="1">
              <a:extLst>
                <a:ext uri="{63B3BB69-23CF-44E3-9099-C40C66FF867C}">
                  <a14:compatExt spid="_x0000_s2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19050</xdr:rowOff>
        </xdr:from>
        <xdr:to>
          <xdr:col>4</xdr:col>
          <xdr:colOff>19050</xdr:colOff>
          <xdr:row>38</xdr:row>
          <xdr:rowOff>85725</xdr:rowOff>
        </xdr:to>
        <xdr:sp macro="" textlink="">
          <xdr:nvSpPr>
            <xdr:cNvPr id="2131" name="Drop Down 83" hidden="1">
              <a:extLst>
                <a:ext uri="{63B3BB69-23CF-44E3-9099-C40C66FF867C}">
                  <a14:compatExt spid="_x0000_s2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19050</xdr:rowOff>
        </xdr:from>
        <xdr:to>
          <xdr:col>5</xdr:col>
          <xdr:colOff>19050</xdr:colOff>
          <xdr:row>38</xdr:row>
          <xdr:rowOff>85725</xdr:rowOff>
        </xdr:to>
        <xdr:sp macro="" textlink="">
          <xdr:nvSpPr>
            <xdr:cNvPr id="2" name="Drop Down 84" hidden="1">
              <a:extLst>
                <a:ext uri="{63B3BB69-23CF-44E3-9099-C40C66FF867C}">
                  <a14:compatExt spid="_x0000_s2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19050</xdr:rowOff>
        </xdr:from>
        <xdr:to>
          <xdr:col>6</xdr:col>
          <xdr:colOff>9525</xdr:colOff>
          <xdr:row>38</xdr:row>
          <xdr:rowOff>85725</xdr:rowOff>
        </xdr:to>
        <xdr:sp macro="" textlink="">
          <xdr:nvSpPr>
            <xdr:cNvPr id="2133" name="Drop Down 85" hidden="1">
              <a:extLst>
                <a:ext uri="{63B3BB69-23CF-44E3-9099-C40C66FF867C}">
                  <a14:compatExt spid="_x0000_s2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37</xdr:row>
          <xdr:rowOff>19050</xdr:rowOff>
        </xdr:from>
        <xdr:to>
          <xdr:col>7</xdr:col>
          <xdr:colOff>9525</xdr:colOff>
          <xdr:row>38</xdr:row>
          <xdr:rowOff>85725</xdr:rowOff>
        </xdr:to>
        <xdr:sp macro="" textlink="">
          <xdr:nvSpPr>
            <xdr:cNvPr id="2134" name="Drop Down 86" hidden="1">
              <a:extLst>
                <a:ext uri="{63B3BB69-23CF-44E3-9099-C40C66FF867C}">
                  <a14:compatExt spid="_x0000_s2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19050</xdr:rowOff>
        </xdr:from>
        <xdr:to>
          <xdr:col>8</xdr:col>
          <xdr:colOff>9525</xdr:colOff>
          <xdr:row>38</xdr:row>
          <xdr:rowOff>85725</xdr:rowOff>
        </xdr:to>
        <xdr:sp macro="" textlink="">
          <xdr:nvSpPr>
            <xdr:cNvPr id="2135" name="Drop Down 87" hidden="1">
              <a:extLst>
                <a:ext uri="{63B3BB69-23CF-44E3-9099-C40C66FF867C}">
                  <a14:compatExt spid="_x0000_s2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37</xdr:row>
          <xdr:rowOff>19050</xdr:rowOff>
        </xdr:from>
        <xdr:to>
          <xdr:col>9</xdr:col>
          <xdr:colOff>0</xdr:colOff>
          <xdr:row>38</xdr:row>
          <xdr:rowOff>85725</xdr:rowOff>
        </xdr:to>
        <xdr:sp macro="" textlink="">
          <xdr:nvSpPr>
            <xdr:cNvPr id="2136" name="Drop Down 88" hidden="1">
              <a:extLst>
                <a:ext uri="{63B3BB69-23CF-44E3-9099-C40C66FF867C}">
                  <a14:compatExt spid="_x0000_s2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37</xdr:row>
          <xdr:rowOff>19050</xdr:rowOff>
        </xdr:from>
        <xdr:to>
          <xdr:col>9</xdr:col>
          <xdr:colOff>628650</xdr:colOff>
          <xdr:row>38</xdr:row>
          <xdr:rowOff>85725</xdr:rowOff>
        </xdr:to>
        <xdr:sp macro="" textlink="">
          <xdr:nvSpPr>
            <xdr:cNvPr id="2137" name="Drop Down 89" hidden="1">
              <a:extLst>
                <a:ext uri="{63B3BB69-23CF-44E3-9099-C40C66FF867C}">
                  <a14:compatExt spid="_x0000_s2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37</xdr:row>
          <xdr:rowOff>19050</xdr:rowOff>
        </xdr:from>
        <xdr:to>
          <xdr:col>10</xdr:col>
          <xdr:colOff>628650</xdr:colOff>
          <xdr:row>38</xdr:row>
          <xdr:rowOff>85725</xdr:rowOff>
        </xdr:to>
        <xdr:sp macro="" textlink="">
          <xdr:nvSpPr>
            <xdr:cNvPr id="2138" name="Drop Down 90" hidden="1">
              <a:extLst>
                <a:ext uri="{63B3BB69-23CF-44E3-9099-C40C66FF867C}">
                  <a14:compatExt spid="_x0000_s2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37</xdr:row>
          <xdr:rowOff>19050</xdr:rowOff>
        </xdr:from>
        <xdr:to>
          <xdr:col>11</xdr:col>
          <xdr:colOff>619125</xdr:colOff>
          <xdr:row>38</xdr:row>
          <xdr:rowOff>85725</xdr:rowOff>
        </xdr:to>
        <xdr:sp macro="" textlink="">
          <xdr:nvSpPr>
            <xdr:cNvPr id="2139" name="Drop Down 91" hidden="1">
              <a:extLst>
                <a:ext uri="{63B3BB69-23CF-44E3-9099-C40C66FF867C}">
                  <a14:compatExt spid="_x0000_s2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1209675</xdr:colOff>
      <xdr:row>1</xdr:row>
      <xdr:rowOff>19050</xdr:rowOff>
    </xdr:from>
    <xdr:to>
      <xdr:col>1</xdr:col>
      <xdr:colOff>619125</xdr:colOff>
      <xdr:row>3</xdr:row>
      <xdr:rowOff>47625</xdr:rowOff>
    </xdr:to>
    <xdr:pic>
      <xdr:nvPicPr>
        <xdr:cNvPr id="3214" name="Picture 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1209675" y="180975"/>
          <a:ext cx="647700" cy="419100"/>
        </a:xfrm>
        <a:prstGeom prst="rect">
          <a:avLst/>
        </a:prstGeom>
        <a:noFill/>
        <a:ln w="9525">
          <a:noFill/>
          <a:miter lim="800000"/>
          <a:headEnd/>
          <a:tailEnd/>
        </a:ln>
      </xdr:spPr>
    </xdr:pic>
    <xdr:clientData/>
  </xdr:twoCellAnchor>
  <xdr:twoCellAnchor editAs="oneCell">
    <xdr:from>
      <xdr:col>15</xdr:col>
      <xdr:colOff>258448</xdr:colOff>
      <xdr:row>1</xdr:row>
      <xdr:rowOff>0</xdr:rowOff>
    </xdr:from>
    <xdr:to>
      <xdr:col>15</xdr:col>
      <xdr:colOff>904404</xdr:colOff>
      <xdr:row>3</xdr:row>
      <xdr:rowOff>28575</xdr:rowOff>
    </xdr:to>
    <xdr:pic>
      <xdr:nvPicPr>
        <xdr:cNvPr id="3215" name="Picture 3"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12412885" y="160986"/>
          <a:ext cx="645956" cy="41762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704850</xdr:colOff>
      <xdr:row>1</xdr:row>
      <xdr:rowOff>76200</xdr:rowOff>
    </xdr:to>
    <xdr:pic>
      <xdr:nvPicPr>
        <xdr:cNvPr id="4187" name="Picture 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57150" y="57150"/>
          <a:ext cx="647700" cy="4191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9525</xdr:colOff>
          <xdr:row>2</xdr:row>
          <xdr:rowOff>0</xdr:rowOff>
        </xdr:from>
        <xdr:to>
          <xdr:col>9</xdr:col>
          <xdr:colOff>0</xdr:colOff>
          <xdr:row>3</xdr:row>
          <xdr:rowOff>9525</xdr:rowOff>
        </xdr:to>
        <xdr:sp macro="" textlink="">
          <xdr:nvSpPr>
            <xdr:cNvPr id="4098" name="Drop Down 2" hidden="1">
              <a:extLst>
                <a:ext uri="{63B3BB69-23CF-44E3-9099-C40C66FF867C}">
                  <a14:compatExt spid="_x0000_s4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xdr:row>
          <xdr:rowOff>180975</xdr:rowOff>
        </xdr:from>
        <xdr:to>
          <xdr:col>9</xdr:col>
          <xdr:colOff>0</xdr:colOff>
          <xdr:row>4</xdr:row>
          <xdr:rowOff>0</xdr:rowOff>
        </xdr:to>
        <xdr:sp macro="" textlink="">
          <xdr:nvSpPr>
            <xdr:cNvPr id="4100" name="Drop Down 4"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xdr:row>
          <xdr:rowOff>180975</xdr:rowOff>
        </xdr:from>
        <xdr:to>
          <xdr:col>9</xdr:col>
          <xdr:colOff>0</xdr:colOff>
          <xdr:row>5</xdr:row>
          <xdr:rowOff>0</xdr:rowOff>
        </xdr:to>
        <xdr:sp macro="" textlink="">
          <xdr:nvSpPr>
            <xdr:cNvPr id="4101" name="Drop Down 5" hidden="1">
              <a:extLst>
                <a:ext uri="{63B3BB69-23CF-44E3-9099-C40C66FF867C}">
                  <a14:compatExt spid="_x0000_s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180975</xdr:rowOff>
        </xdr:from>
        <xdr:to>
          <xdr:col>9</xdr:col>
          <xdr:colOff>0</xdr:colOff>
          <xdr:row>6</xdr:row>
          <xdr:rowOff>0</xdr:rowOff>
        </xdr:to>
        <xdr:sp macro="" textlink="">
          <xdr:nvSpPr>
            <xdr:cNvPr id="4102" name="Drop Down 6" hidden="1">
              <a:extLst>
                <a:ext uri="{63B3BB69-23CF-44E3-9099-C40C66FF867C}">
                  <a14:compatExt spid="_x0000_s4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9</xdr:col>
          <xdr:colOff>0</xdr:colOff>
          <xdr:row>7</xdr:row>
          <xdr:rowOff>0</xdr:rowOff>
        </xdr:to>
        <xdr:sp macro="" textlink="">
          <xdr:nvSpPr>
            <xdr:cNvPr id="4103" name="Drop Down 7" hidden="1">
              <a:extLst>
                <a:ext uri="{63B3BB69-23CF-44E3-9099-C40C66FF867C}">
                  <a14:compatExt spid="_x0000_s4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180975</xdr:rowOff>
        </xdr:from>
        <xdr:to>
          <xdr:col>9</xdr:col>
          <xdr:colOff>0</xdr:colOff>
          <xdr:row>8</xdr:row>
          <xdr:rowOff>0</xdr:rowOff>
        </xdr:to>
        <xdr:sp macro="" textlink="">
          <xdr:nvSpPr>
            <xdr:cNvPr id="4104" name="Drop Down 8" hidden="1">
              <a:extLst>
                <a:ext uri="{63B3BB69-23CF-44E3-9099-C40C66FF867C}">
                  <a14:compatExt spid="_x0000_s4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180975</xdr:rowOff>
        </xdr:from>
        <xdr:to>
          <xdr:col>9</xdr:col>
          <xdr:colOff>0</xdr:colOff>
          <xdr:row>9</xdr:row>
          <xdr:rowOff>0</xdr:rowOff>
        </xdr:to>
        <xdr:sp macro="" textlink="">
          <xdr:nvSpPr>
            <xdr:cNvPr id="4105" name="Drop Down 9" hidden="1">
              <a:extLst>
                <a:ext uri="{63B3BB69-23CF-44E3-9099-C40C66FF867C}">
                  <a14:compatExt spid="_x0000_s4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180975</xdr:rowOff>
        </xdr:from>
        <xdr:to>
          <xdr:col>9</xdr:col>
          <xdr:colOff>0</xdr:colOff>
          <xdr:row>10</xdr:row>
          <xdr:rowOff>0</xdr:rowOff>
        </xdr:to>
        <xdr:sp macro="" textlink="">
          <xdr:nvSpPr>
            <xdr:cNvPr id="4106" name="Drop Down 10" hidden="1">
              <a:extLst>
                <a:ext uri="{63B3BB69-23CF-44E3-9099-C40C66FF867C}">
                  <a14:compatExt spid="_x0000_s4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180975</xdr:rowOff>
        </xdr:from>
        <xdr:to>
          <xdr:col>9</xdr:col>
          <xdr:colOff>0</xdr:colOff>
          <xdr:row>11</xdr:row>
          <xdr:rowOff>0</xdr:rowOff>
        </xdr:to>
        <xdr:sp macro="" textlink="">
          <xdr:nvSpPr>
            <xdr:cNvPr id="4107" name="Drop Down 11" hidden="1">
              <a:extLst>
                <a:ext uri="{63B3BB69-23CF-44E3-9099-C40C66FF867C}">
                  <a14:compatExt spid="_x0000_s4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180975</xdr:rowOff>
        </xdr:from>
        <xdr:to>
          <xdr:col>9</xdr:col>
          <xdr:colOff>0</xdr:colOff>
          <xdr:row>12</xdr:row>
          <xdr:rowOff>0</xdr:rowOff>
        </xdr:to>
        <xdr:sp macro="" textlink="">
          <xdr:nvSpPr>
            <xdr:cNvPr id="4108" name="Drop Down 12" hidden="1">
              <a:extLst>
                <a:ext uri="{63B3BB69-23CF-44E3-9099-C40C66FF867C}">
                  <a14:compatExt spid="_x0000_s4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180975</xdr:rowOff>
        </xdr:from>
        <xdr:to>
          <xdr:col>9</xdr:col>
          <xdr:colOff>0</xdr:colOff>
          <xdr:row>13</xdr:row>
          <xdr:rowOff>0</xdr:rowOff>
        </xdr:to>
        <xdr:sp macro="" textlink="">
          <xdr:nvSpPr>
            <xdr:cNvPr id="4109" name="Drop Down 13" hidden="1">
              <a:extLst>
                <a:ext uri="{63B3BB69-23CF-44E3-9099-C40C66FF867C}">
                  <a14:compatExt spid="_x0000_s4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180975</xdr:rowOff>
        </xdr:from>
        <xdr:to>
          <xdr:col>9</xdr:col>
          <xdr:colOff>0</xdr:colOff>
          <xdr:row>14</xdr:row>
          <xdr:rowOff>0</xdr:rowOff>
        </xdr:to>
        <xdr:sp macro="" textlink="">
          <xdr:nvSpPr>
            <xdr:cNvPr id="4110" name="Drop Down 14" hidden="1">
              <a:extLst>
                <a:ext uri="{63B3BB69-23CF-44E3-9099-C40C66FF867C}">
                  <a14:compatExt spid="_x0000_s4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180975</xdr:rowOff>
        </xdr:from>
        <xdr:to>
          <xdr:col>9</xdr:col>
          <xdr:colOff>0</xdr:colOff>
          <xdr:row>15</xdr:row>
          <xdr:rowOff>0</xdr:rowOff>
        </xdr:to>
        <xdr:sp macro="" textlink="">
          <xdr:nvSpPr>
            <xdr:cNvPr id="4111" name="Drop Down 15" hidden="1">
              <a:extLst>
                <a:ext uri="{63B3BB69-23CF-44E3-9099-C40C66FF867C}">
                  <a14:compatExt spid="_x0000_s4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180975</xdr:rowOff>
        </xdr:from>
        <xdr:to>
          <xdr:col>9</xdr:col>
          <xdr:colOff>0</xdr:colOff>
          <xdr:row>16</xdr:row>
          <xdr:rowOff>0</xdr:rowOff>
        </xdr:to>
        <xdr:sp macro="" textlink="">
          <xdr:nvSpPr>
            <xdr:cNvPr id="4112" name="Drop Down 16" hidden="1">
              <a:extLst>
                <a:ext uri="{63B3BB69-23CF-44E3-9099-C40C66FF867C}">
                  <a14:compatExt spid="_x0000_s4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180975</xdr:rowOff>
        </xdr:from>
        <xdr:to>
          <xdr:col>9</xdr:col>
          <xdr:colOff>0</xdr:colOff>
          <xdr:row>17</xdr:row>
          <xdr:rowOff>0</xdr:rowOff>
        </xdr:to>
        <xdr:sp macro="" textlink="">
          <xdr:nvSpPr>
            <xdr:cNvPr id="4113" name="Drop Down 17" hidden="1">
              <a:extLst>
                <a:ext uri="{63B3BB69-23CF-44E3-9099-C40C66FF867C}">
                  <a14:compatExt spid="_x0000_s4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180975</xdr:rowOff>
        </xdr:from>
        <xdr:to>
          <xdr:col>9</xdr:col>
          <xdr:colOff>0</xdr:colOff>
          <xdr:row>18</xdr:row>
          <xdr:rowOff>0</xdr:rowOff>
        </xdr:to>
        <xdr:sp macro="" textlink="">
          <xdr:nvSpPr>
            <xdr:cNvPr id="4114" name="Drop Down 18" hidden="1">
              <a:extLst>
                <a:ext uri="{63B3BB69-23CF-44E3-9099-C40C66FF867C}">
                  <a14:compatExt spid="_x0000_s4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180975</xdr:rowOff>
        </xdr:from>
        <xdr:to>
          <xdr:col>9</xdr:col>
          <xdr:colOff>0</xdr:colOff>
          <xdr:row>19</xdr:row>
          <xdr:rowOff>0</xdr:rowOff>
        </xdr:to>
        <xdr:sp macro="" textlink="">
          <xdr:nvSpPr>
            <xdr:cNvPr id="4115" name="Drop Down 19" hidden="1">
              <a:extLst>
                <a:ext uri="{63B3BB69-23CF-44E3-9099-C40C66FF867C}">
                  <a14:compatExt spid="_x0000_s4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180975</xdr:rowOff>
        </xdr:from>
        <xdr:to>
          <xdr:col>9</xdr:col>
          <xdr:colOff>0</xdr:colOff>
          <xdr:row>20</xdr:row>
          <xdr:rowOff>0</xdr:rowOff>
        </xdr:to>
        <xdr:sp macro="" textlink="">
          <xdr:nvSpPr>
            <xdr:cNvPr id="4116" name="Drop Down 20" hidden="1">
              <a:extLst>
                <a:ext uri="{63B3BB69-23CF-44E3-9099-C40C66FF867C}">
                  <a14:compatExt spid="_x0000_s4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180975</xdr:rowOff>
        </xdr:from>
        <xdr:to>
          <xdr:col>9</xdr:col>
          <xdr:colOff>0</xdr:colOff>
          <xdr:row>21</xdr:row>
          <xdr:rowOff>0</xdr:rowOff>
        </xdr:to>
        <xdr:sp macro="" textlink="">
          <xdr:nvSpPr>
            <xdr:cNvPr id="4117" name="Drop Down 21" hidden="1">
              <a:extLst>
                <a:ext uri="{63B3BB69-23CF-44E3-9099-C40C66FF867C}">
                  <a14:compatExt spid="_x0000_s4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180975</xdr:rowOff>
        </xdr:from>
        <xdr:to>
          <xdr:col>9</xdr:col>
          <xdr:colOff>0</xdr:colOff>
          <xdr:row>22</xdr:row>
          <xdr:rowOff>0</xdr:rowOff>
        </xdr:to>
        <xdr:sp macro="" textlink="">
          <xdr:nvSpPr>
            <xdr:cNvPr id="4118" name="Drop Down 22" hidden="1">
              <a:extLst>
                <a:ext uri="{63B3BB69-23CF-44E3-9099-C40C66FF867C}">
                  <a14:compatExt spid="_x0000_s41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38100</xdr:colOff>
      <xdr:row>1</xdr:row>
      <xdr:rowOff>95250</xdr:rowOff>
    </xdr:to>
    <xdr:pic>
      <xdr:nvPicPr>
        <xdr:cNvPr id="9247" name="Picture 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47700" cy="4286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5</xdr:row>
          <xdr:rowOff>9525</xdr:rowOff>
        </xdr:from>
        <xdr:to>
          <xdr:col>1</xdr:col>
          <xdr:colOff>571500</xdr:colOff>
          <xdr:row>6</xdr:row>
          <xdr:rowOff>9525</xdr:rowOff>
        </xdr:to>
        <xdr:sp macro="" textlink="">
          <xdr:nvSpPr>
            <xdr:cNvPr id="9220" name="Drop Down 4" hidden="1">
              <a:extLst>
                <a:ext uri="{63B3BB69-23CF-44E3-9099-C40C66FF867C}">
                  <a14:compatExt spid="_x0000_s9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xdr:row>
          <xdr:rowOff>9525</xdr:rowOff>
        </xdr:from>
        <xdr:to>
          <xdr:col>1</xdr:col>
          <xdr:colOff>571500</xdr:colOff>
          <xdr:row>7</xdr:row>
          <xdr:rowOff>9525</xdr:rowOff>
        </xdr:to>
        <xdr:sp macro="" textlink="">
          <xdr:nvSpPr>
            <xdr:cNvPr id="9221" name="Drop Down 5" hidden="1">
              <a:extLst>
                <a:ext uri="{63B3BB69-23CF-44E3-9099-C40C66FF867C}">
                  <a14:compatExt spid="_x0000_s9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xdr:row>
          <xdr:rowOff>9525</xdr:rowOff>
        </xdr:from>
        <xdr:to>
          <xdr:col>1</xdr:col>
          <xdr:colOff>571500</xdr:colOff>
          <xdr:row>8</xdr:row>
          <xdr:rowOff>9525</xdr:rowOff>
        </xdr:to>
        <xdr:sp macro="" textlink="">
          <xdr:nvSpPr>
            <xdr:cNvPr id="9222" name="Drop Down 6" hidden="1">
              <a:extLst>
                <a:ext uri="{63B3BB69-23CF-44E3-9099-C40C66FF867C}">
                  <a14:compatExt spid="_x0000_s9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9525</xdr:rowOff>
        </xdr:from>
        <xdr:to>
          <xdr:col>1</xdr:col>
          <xdr:colOff>571500</xdr:colOff>
          <xdr:row>9</xdr:row>
          <xdr:rowOff>9525</xdr:rowOff>
        </xdr:to>
        <xdr:sp macro="" textlink="">
          <xdr:nvSpPr>
            <xdr:cNvPr id="9223" name="Drop Down 7" hidden="1">
              <a:extLst>
                <a:ext uri="{63B3BB69-23CF-44E3-9099-C40C66FF867C}">
                  <a14:compatExt spid="_x0000_s9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571500</xdr:colOff>
          <xdr:row>10</xdr:row>
          <xdr:rowOff>9525</xdr:rowOff>
        </xdr:to>
        <xdr:sp macro="" textlink="">
          <xdr:nvSpPr>
            <xdr:cNvPr id="9224" name="Drop Down 8" hidden="1">
              <a:extLst>
                <a:ext uri="{63B3BB69-23CF-44E3-9099-C40C66FF867C}">
                  <a14:compatExt spid="_x0000_s9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0</xdr:rowOff>
        </xdr:from>
        <xdr:to>
          <xdr:col>6</xdr:col>
          <xdr:colOff>600075</xdr:colOff>
          <xdr:row>3</xdr:row>
          <xdr:rowOff>190500</xdr:rowOff>
        </xdr:to>
        <xdr:sp macro="" textlink="">
          <xdr:nvSpPr>
            <xdr:cNvPr id="9225" name="Drop Down 9" hidden="1">
              <a:extLst>
                <a:ext uri="{63B3BB69-23CF-44E3-9099-C40C66FF867C}">
                  <a14:compatExt spid="_x0000_s9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1676400</xdr:colOff>
          <xdr:row>37</xdr:row>
          <xdr:rowOff>0</xdr:rowOff>
        </xdr:from>
        <xdr:to>
          <xdr:col>3</xdr:col>
          <xdr:colOff>9525</xdr:colOff>
          <xdr:row>38</xdr:row>
          <xdr:rowOff>47625</xdr:rowOff>
        </xdr:to>
        <xdr:sp macro="" textlink="">
          <xdr:nvSpPr>
            <xdr:cNvPr id="15361" name="Drop Down 1" hidden="1">
              <a:extLst>
                <a:ext uri="{63B3BB69-23CF-44E3-9099-C40C66FF867C}">
                  <a14:compatExt spid="_x0000_s15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37</xdr:row>
          <xdr:rowOff>0</xdr:rowOff>
        </xdr:from>
        <xdr:to>
          <xdr:col>4</xdr:col>
          <xdr:colOff>0</xdr:colOff>
          <xdr:row>38</xdr:row>
          <xdr:rowOff>47625</xdr:rowOff>
        </xdr:to>
        <xdr:sp macro="" textlink="">
          <xdr:nvSpPr>
            <xdr:cNvPr id="15362" name="Drop Down 2" hidden="1">
              <a:extLst>
                <a:ext uri="{63B3BB69-23CF-44E3-9099-C40C66FF867C}">
                  <a14:compatExt spid="_x0000_s15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37</xdr:row>
          <xdr:rowOff>0</xdr:rowOff>
        </xdr:from>
        <xdr:to>
          <xdr:col>4</xdr:col>
          <xdr:colOff>638175</xdr:colOff>
          <xdr:row>38</xdr:row>
          <xdr:rowOff>47625</xdr:rowOff>
        </xdr:to>
        <xdr:sp macro="" textlink="">
          <xdr:nvSpPr>
            <xdr:cNvPr id="15363" name="Drop Down 3" hidden="1">
              <a:extLst>
                <a:ext uri="{63B3BB69-23CF-44E3-9099-C40C66FF867C}">
                  <a14:compatExt spid="_x0000_s15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37</xdr:row>
          <xdr:rowOff>0</xdr:rowOff>
        </xdr:from>
        <xdr:to>
          <xdr:col>5</xdr:col>
          <xdr:colOff>638175</xdr:colOff>
          <xdr:row>38</xdr:row>
          <xdr:rowOff>47625</xdr:rowOff>
        </xdr:to>
        <xdr:sp macro="" textlink="">
          <xdr:nvSpPr>
            <xdr:cNvPr id="15364" name="Drop Down 4" hidden="1">
              <a:extLst>
                <a:ext uri="{63B3BB69-23CF-44E3-9099-C40C66FF867C}">
                  <a14:compatExt spid="_x0000_s15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37</xdr:row>
          <xdr:rowOff>0</xdr:rowOff>
        </xdr:from>
        <xdr:to>
          <xdr:col>6</xdr:col>
          <xdr:colOff>638175</xdr:colOff>
          <xdr:row>38</xdr:row>
          <xdr:rowOff>47625</xdr:rowOff>
        </xdr:to>
        <xdr:sp macro="" textlink="">
          <xdr:nvSpPr>
            <xdr:cNvPr id="15365" name="Drop Down 5" hidden="1">
              <a:extLst>
                <a:ext uri="{63B3BB69-23CF-44E3-9099-C40C66FF867C}">
                  <a14:compatExt spid="_x0000_s153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37</xdr:row>
          <xdr:rowOff>0</xdr:rowOff>
        </xdr:from>
        <xdr:to>
          <xdr:col>8</xdr:col>
          <xdr:colOff>0</xdr:colOff>
          <xdr:row>38</xdr:row>
          <xdr:rowOff>47625</xdr:rowOff>
        </xdr:to>
        <xdr:sp macro="" textlink="">
          <xdr:nvSpPr>
            <xdr:cNvPr id="15366" name="Drop Down 6" hidden="1">
              <a:extLst>
                <a:ext uri="{63B3BB69-23CF-44E3-9099-C40C66FF867C}">
                  <a14:compatExt spid="_x0000_s153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37</xdr:row>
          <xdr:rowOff>0</xdr:rowOff>
        </xdr:from>
        <xdr:to>
          <xdr:col>9</xdr:col>
          <xdr:colOff>0</xdr:colOff>
          <xdr:row>38</xdr:row>
          <xdr:rowOff>47625</xdr:rowOff>
        </xdr:to>
        <xdr:sp macro="" textlink="">
          <xdr:nvSpPr>
            <xdr:cNvPr id="15367" name="Drop Down 7" hidden="1">
              <a:extLst>
                <a:ext uri="{63B3BB69-23CF-44E3-9099-C40C66FF867C}">
                  <a14:compatExt spid="_x0000_s15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37</xdr:row>
          <xdr:rowOff>0</xdr:rowOff>
        </xdr:from>
        <xdr:to>
          <xdr:col>9</xdr:col>
          <xdr:colOff>638175</xdr:colOff>
          <xdr:row>38</xdr:row>
          <xdr:rowOff>47625</xdr:rowOff>
        </xdr:to>
        <xdr:sp macro="" textlink="">
          <xdr:nvSpPr>
            <xdr:cNvPr id="15368" name="Drop Down 8" hidden="1">
              <a:extLst>
                <a:ext uri="{63B3BB69-23CF-44E3-9099-C40C66FF867C}">
                  <a14:compatExt spid="_x0000_s153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37</xdr:row>
          <xdr:rowOff>0</xdr:rowOff>
        </xdr:from>
        <xdr:to>
          <xdr:col>11</xdr:col>
          <xdr:colOff>0</xdr:colOff>
          <xdr:row>38</xdr:row>
          <xdr:rowOff>47625</xdr:rowOff>
        </xdr:to>
        <xdr:sp macro="" textlink="">
          <xdr:nvSpPr>
            <xdr:cNvPr id="15369" name="Drop Down 9" hidden="1">
              <a:extLst>
                <a:ext uri="{63B3BB69-23CF-44E3-9099-C40C66FF867C}">
                  <a14:compatExt spid="_x0000_s153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619125</xdr:colOff>
          <xdr:row>37</xdr:row>
          <xdr:rowOff>0</xdr:rowOff>
        </xdr:from>
        <xdr:to>
          <xdr:col>11</xdr:col>
          <xdr:colOff>638175</xdr:colOff>
          <xdr:row>38</xdr:row>
          <xdr:rowOff>47625</xdr:rowOff>
        </xdr:to>
        <xdr:sp macro="" textlink="">
          <xdr:nvSpPr>
            <xdr:cNvPr id="15370" name="Drop Down 10" hidden="1">
              <a:extLst>
                <a:ext uri="{63B3BB69-23CF-44E3-9099-C40C66FF867C}">
                  <a14:compatExt spid="_x0000_s153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1209675</xdr:colOff>
      <xdr:row>1</xdr:row>
      <xdr:rowOff>19050</xdr:rowOff>
    </xdr:from>
    <xdr:to>
      <xdr:col>1</xdr:col>
      <xdr:colOff>581025</xdr:colOff>
      <xdr:row>2</xdr:row>
      <xdr:rowOff>209550</xdr:rowOff>
    </xdr:to>
    <xdr:pic>
      <xdr:nvPicPr>
        <xdr:cNvPr id="2" name="Picture 1" descr="NEWLOGOC"/>
        <xdr:cNvPicPr>
          <a:picLocks noChangeAspect="1" noChangeArrowheads="1"/>
        </xdr:cNvPicPr>
      </xdr:nvPicPr>
      <xdr:blipFill>
        <a:blip xmlns:r="http://schemas.openxmlformats.org/officeDocument/2006/relationships" r:embed="rId1" cstate="print"/>
        <a:srcRect/>
        <a:stretch>
          <a:fillRect/>
        </a:stretch>
      </xdr:blipFill>
      <xdr:spPr bwMode="auto">
        <a:xfrm>
          <a:off x="1209675" y="180975"/>
          <a:ext cx="647700" cy="419100"/>
        </a:xfrm>
        <a:prstGeom prst="rect">
          <a:avLst/>
        </a:prstGeom>
        <a:noFill/>
        <a:ln w="9525">
          <a:noFill/>
          <a:miter lim="800000"/>
          <a:headEnd/>
          <a:tailEnd/>
        </a:ln>
      </xdr:spPr>
    </xdr:pic>
    <xdr:clientData/>
  </xdr:twoCellAnchor>
  <xdr:twoCellAnchor editAs="oneCell">
    <xdr:from>
      <xdr:col>0</xdr:col>
      <xdr:colOff>1209675</xdr:colOff>
      <xdr:row>1</xdr:row>
      <xdr:rowOff>19050</xdr:rowOff>
    </xdr:from>
    <xdr:to>
      <xdr:col>1</xdr:col>
      <xdr:colOff>619125</xdr:colOff>
      <xdr:row>3</xdr:row>
      <xdr:rowOff>47625</xdr:rowOff>
    </xdr:to>
    <xdr:pic>
      <xdr:nvPicPr>
        <xdr:cNvPr id="4" name="Picture 1" descr="NEWLOGOC"/>
        <xdr:cNvPicPr>
          <a:picLocks noChangeAspect="1" noChangeArrowheads="1"/>
        </xdr:cNvPicPr>
      </xdr:nvPicPr>
      <xdr:blipFill>
        <a:blip xmlns:r="http://schemas.openxmlformats.org/officeDocument/2006/relationships" r:embed="rId2" cstate="print"/>
        <a:srcRect/>
        <a:stretch>
          <a:fillRect/>
        </a:stretch>
      </xdr:blipFill>
      <xdr:spPr bwMode="auto">
        <a:xfrm>
          <a:off x="1209675" y="180975"/>
          <a:ext cx="647700" cy="419100"/>
        </a:xfrm>
        <a:prstGeom prst="rect">
          <a:avLst/>
        </a:prstGeom>
        <a:noFill/>
        <a:ln w="9525">
          <a:noFill/>
          <a:miter lim="800000"/>
          <a:headEnd/>
          <a:tailEnd/>
        </a:ln>
      </xdr:spPr>
    </xdr:pic>
    <xdr:clientData/>
  </xdr:twoCellAnchor>
  <xdr:twoCellAnchor editAs="oneCell">
    <xdr:from>
      <xdr:col>15</xdr:col>
      <xdr:colOff>258448</xdr:colOff>
      <xdr:row>1</xdr:row>
      <xdr:rowOff>0</xdr:rowOff>
    </xdr:from>
    <xdr:to>
      <xdr:col>15</xdr:col>
      <xdr:colOff>904404</xdr:colOff>
      <xdr:row>3</xdr:row>
      <xdr:rowOff>28575</xdr:rowOff>
    </xdr:to>
    <xdr:pic>
      <xdr:nvPicPr>
        <xdr:cNvPr id="5" name="Picture 3" descr="NEWLOGOC"/>
        <xdr:cNvPicPr>
          <a:picLocks noChangeAspect="1" noChangeArrowheads="1"/>
        </xdr:cNvPicPr>
      </xdr:nvPicPr>
      <xdr:blipFill>
        <a:blip xmlns:r="http://schemas.openxmlformats.org/officeDocument/2006/relationships" r:embed="rId2" cstate="print"/>
        <a:srcRect/>
        <a:stretch>
          <a:fillRect/>
        </a:stretch>
      </xdr:blipFill>
      <xdr:spPr bwMode="auto">
        <a:xfrm>
          <a:off x="12431398" y="161925"/>
          <a:ext cx="645956" cy="419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7"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41"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8" Type="http://schemas.openxmlformats.org/officeDocument/2006/relationships/ctrlProp" Target="../ctrlProps/ctrlProp69.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3" Type="http://schemas.openxmlformats.org/officeDocument/2006/relationships/vmlDrawing" Target="../drawings/vmlDrawing3.vml"/><Relationship Id="rId7" Type="http://schemas.openxmlformats.org/officeDocument/2006/relationships/ctrlProp" Target="../ctrlProps/ctrlProp108.xml"/><Relationship Id="rId12" Type="http://schemas.openxmlformats.org/officeDocument/2006/relationships/ctrlProp" Target="../ctrlProps/ctrlProp1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07.xml"/><Relationship Id="rId11" Type="http://schemas.openxmlformats.org/officeDocument/2006/relationships/ctrlProp" Target="../ctrlProps/ctrlProp112.xml"/><Relationship Id="rId5" Type="http://schemas.openxmlformats.org/officeDocument/2006/relationships/ctrlProp" Target="../ctrlProps/ctrlProp106.xml"/><Relationship Id="rId10" Type="http://schemas.openxmlformats.org/officeDocument/2006/relationships/ctrlProp" Target="../ctrlProps/ctrlProp111.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9.xml"/><Relationship Id="rId13" Type="http://schemas.openxmlformats.org/officeDocument/2006/relationships/ctrlProp" Target="../ctrlProps/ctrlProp124.xml"/><Relationship Id="rId18" Type="http://schemas.openxmlformats.org/officeDocument/2006/relationships/ctrlProp" Target="../ctrlProps/ctrlProp129.xml"/><Relationship Id="rId3" Type="http://schemas.openxmlformats.org/officeDocument/2006/relationships/vmlDrawing" Target="../drawings/vmlDrawing5.vml"/><Relationship Id="rId21" Type="http://schemas.openxmlformats.org/officeDocument/2006/relationships/ctrlProp" Target="../ctrlProps/ctrlProp132.xml"/><Relationship Id="rId7" Type="http://schemas.openxmlformats.org/officeDocument/2006/relationships/ctrlProp" Target="../ctrlProps/ctrlProp118.xml"/><Relationship Id="rId12" Type="http://schemas.openxmlformats.org/officeDocument/2006/relationships/ctrlProp" Target="../ctrlProps/ctrlProp123.xml"/><Relationship Id="rId17" Type="http://schemas.openxmlformats.org/officeDocument/2006/relationships/ctrlProp" Target="../ctrlProps/ctrlProp128.xml"/><Relationship Id="rId2" Type="http://schemas.openxmlformats.org/officeDocument/2006/relationships/drawing" Target="../drawings/drawing6.xml"/><Relationship Id="rId16" Type="http://schemas.openxmlformats.org/officeDocument/2006/relationships/ctrlProp" Target="../ctrlProps/ctrlProp127.xml"/><Relationship Id="rId20" Type="http://schemas.openxmlformats.org/officeDocument/2006/relationships/ctrlProp" Target="../ctrlProps/ctrlProp131.xml"/><Relationship Id="rId1" Type="http://schemas.openxmlformats.org/officeDocument/2006/relationships/printerSettings" Target="../printerSettings/printerSettings6.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omments" Target="../comments4.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10" Type="http://schemas.openxmlformats.org/officeDocument/2006/relationships/ctrlProp" Target="../ctrlProps/ctrlProp121.xml"/><Relationship Id="rId19" Type="http://schemas.openxmlformats.org/officeDocument/2006/relationships/ctrlProp" Target="../ctrlProps/ctrlProp130.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9.xml"/><Relationship Id="rId3" Type="http://schemas.openxmlformats.org/officeDocument/2006/relationships/vmlDrawing" Target="../drawings/vmlDrawing6.vml"/><Relationship Id="rId7" Type="http://schemas.openxmlformats.org/officeDocument/2006/relationships/ctrlProp" Target="../ctrlProps/ctrlProp13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37.xml"/><Relationship Id="rId5" Type="http://schemas.openxmlformats.org/officeDocument/2006/relationships/ctrlProp" Target="../ctrlProps/ctrlProp136.xml"/><Relationship Id="rId4" Type="http://schemas.openxmlformats.org/officeDocument/2006/relationships/ctrlProp" Target="../ctrlProps/ctrlProp135.xml"/><Relationship Id="rId9" Type="http://schemas.openxmlformats.org/officeDocument/2006/relationships/ctrlProp" Target="../ctrlProps/ctrlProp14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3" Type="http://schemas.openxmlformats.org/officeDocument/2006/relationships/vmlDrawing" Target="../drawings/vmlDrawing7.vml"/><Relationship Id="rId7" Type="http://schemas.openxmlformats.org/officeDocument/2006/relationships/ctrlProp" Target="../ctrlProps/ctrlProp144.xml"/><Relationship Id="rId12" Type="http://schemas.openxmlformats.org/officeDocument/2006/relationships/ctrlProp" Target="../ctrlProps/ctrlProp14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43.xml"/><Relationship Id="rId11" Type="http://schemas.openxmlformats.org/officeDocument/2006/relationships/ctrlProp" Target="../ctrlProps/ctrlProp148.xml"/><Relationship Id="rId5" Type="http://schemas.openxmlformats.org/officeDocument/2006/relationships/ctrlProp" Target="../ctrlProps/ctrlProp142.xml"/><Relationship Id="rId10" Type="http://schemas.openxmlformats.org/officeDocument/2006/relationships/ctrlProp" Target="../ctrlProps/ctrlProp147.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4"/>
  <sheetViews>
    <sheetView tabSelected="1" zoomScaleNormal="100" workbookViewId="0">
      <selection activeCell="J8" sqref="J8"/>
    </sheetView>
  </sheetViews>
  <sheetFormatPr defaultRowHeight="12.75" x14ac:dyDescent="0.2"/>
  <sheetData>
    <row r="1" spans="1:10" ht="35.25" x14ac:dyDescent="0.5">
      <c r="A1" s="56"/>
      <c r="B1" s="57"/>
      <c r="C1" s="57"/>
      <c r="D1" s="57"/>
      <c r="E1" s="58" t="s">
        <v>264</v>
      </c>
      <c r="F1" s="57"/>
      <c r="G1" s="58"/>
      <c r="H1" s="58"/>
      <c r="I1" s="58"/>
      <c r="J1" s="58"/>
    </row>
    <row r="2" spans="1:10" x14ac:dyDescent="0.2">
      <c r="A2" s="59"/>
      <c r="B2" s="60"/>
      <c r="C2" s="60"/>
      <c r="D2" s="60"/>
      <c r="E2" s="61"/>
      <c r="F2" s="60"/>
      <c r="G2" s="60"/>
      <c r="H2" s="60"/>
      <c r="I2" s="60"/>
      <c r="J2" s="60"/>
    </row>
    <row r="3" spans="1:10" x14ac:dyDescent="0.2">
      <c r="A3" s="62"/>
      <c r="B3" s="294" t="s">
        <v>35</v>
      </c>
      <c r="C3" s="57"/>
      <c r="D3" s="57"/>
      <c r="E3" s="57"/>
      <c r="F3" s="57"/>
      <c r="G3" s="57"/>
      <c r="H3" s="57"/>
      <c r="I3" s="57"/>
      <c r="J3" s="57"/>
    </row>
    <row r="4" spans="1:10" x14ac:dyDescent="0.2">
      <c r="A4" s="64"/>
      <c r="B4" s="294" t="s">
        <v>117</v>
      </c>
      <c r="C4" s="63"/>
      <c r="D4" s="63"/>
      <c r="E4" s="63"/>
      <c r="F4" s="63"/>
      <c r="G4" s="63"/>
      <c r="H4" s="63"/>
      <c r="I4" s="57"/>
      <c r="J4" s="57"/>
    </row>
    <row r="5" spans="1:10" x14ac:dyDescent="0.2">
      <c r="A5" s="64"/>
      <c r="B5" s="294" t="s">
        <v>118</v>
      </c>
      <c r="C5" s="63"/>
      <c r="D5" s="63"/>
      <c r="E5" s="63"/>
      <c r="F5" s="63"/>
      <c r="G5" s="63"/>
      <c r="H5" s="63"/>
      <c r="I5" s="57"/>
      <c r="J5" s="57"/>
    </row>
    <row r="6" spans="1:10" x14ac:dyDescent="0.2">
      <c r="A6" s="64"/>
      <c r="B6" s="294"/>
      <c r="C6" s="63"/>
      <c r="D6" s="63"/>
      <c r="E6" s="63"/>
      <c r="F6" s="63"/>
      <c r="G6" s="63"/>
      <c r="H6" s="63"/>
      <c r="I6" s="57"/>
      <c r="J6" s="57"/>
    </row>
    <row r="7" spans="1:10" x14ac:dyDescent="0.2">
      <c r="A7" s="64"/>
      <c r="B7" s="294" t="s">
        <v>114</v>
      </c>
      <c r="C7" s="63"/>
      <c r="D7" s="63"/>
      <c r="E7" s="63"/>
      <c r="F7" s="63"/>
      <c r="G7" s="63"/>
      <c r="H7" s="63"/>
      <c r="I7" s="57"/>
      <c r="J7" s="57"/>
    </row>
    <row r="8" spans="1:10" x14ac:dyDescent="0.2">
      <c r="A8" s="64"/>
      <c r="B8" s="294" t="s">
        <v>153</v>
      </c>
      <c r="C8" s="63"/>
      <c r="D8" s="63"/>
      <c r="E8" s="63"/>
      <c r="F8" s="63"/>
      <c r="G8" s="63"/>
      <c r="H8" s="63"/>
      <c r="I8" s="57"/>
      <c r="J8" s="57"/>
    </row>
    <row r="9" spans="1:10" x14ac:dyDescent="0.2">
      <c r="A9" s="64"/>
      <c r="B9" s="294" t="s">
        <v>119</v>
      </c>
      <c r="C9" s="63"/>
      <c r="D9" s="63"/>
      <c r="E9" s="63"/>
      <c r="F9" s="63"/>
      <c r="G9" s="63"/>
      <c r="H9" s="63"/>
      <c r="I9" s="57"/>
      <c r="J9" s="57"/>
    </row>
    <row r="10" spans="1:10" x14ac:dyDescent="0.2">
      <c r="A10" s="64"/>
      <c r="B10" s="294"/>
      <c r="C10" s="63"/>
      <c r="D10" s="63"/>
      <c r="E10" s="63"/>
      <c r="F10" s="63"/>
      <c r="G10" s="63"/>
      <c r="H10" s="63"/>
      <c r="I10" s="57"/>
      <c r="J10" s="57"/>
    </row>
    <row r="11" spans="1:10" x14ac:dyDescent="0.2">
      <c r="A11" s="64"/>
      <c r="B11" s="294" t="s">
        <v>77</v>
      </c>
      <c r="C11" s="63"/>
      <c r="D11" s="63"/>
      <c r="E11" s="63"/>
      <c r="F11" s="63"/>
      <c r="G11" s="63"/>
      <c r="H11" s="63"/>
      <c r="I11" s="57"/>
      <c r="J11" s="57"/>
    </row>
    <row r="12" spans="1:10" x14ac:dyDescent="0.2">
      <c r="A12" s="64"/>
      <c r="B12" s="294" t="s">
        <v>115</v>
      </c>
      <c r="C12" s="63"/>
      <c r="D12" s="63"/>
      <c r="E12" s="63"/>
      <c r="F12" s="63"/>
      <c r="G12" s="63"/>
      <c r="H12" s="63"/>
      <c r="I12" s="57"/>
      <c r="J12" s="57"/>
    </row>
    <row r="13" spans="1:10" x14ac:dyDescent="0.2">
      <c r="A13" s="64"/>
      <c r="B13" s="294"/>
      <c r="C13" s="63"/>
      <c r="D13" s="63"/>
      <c r="E13" s="63"/>
      <c r="F13" s="63"/>
      <c r="G13" s="63"/>
      <c r="H13" s="63"/>
      <c r="I13" s="57"/>
      <c r="J13" s="57"/>
    </row>
    <row r="14" spans="1:10" x14ac:dyDescent="0.2">
      <c r="A14" s="64"/>
      <c r="B14" s="294" t="s">
        <v>245</v>
      </c>
      <c r="C14" s="63"/>
      <c r="D14" s="63"/>
      <c r="E14" s="63"/>
      <c r="F14" s="63"/>
      <c r="G14" s="63"/>
      <c r="H14" s="63"/>
      <c r="I14" s="57"/>
      <c r="J14" s="57"/>
    </row>
    <row r="15" spans="1:10" x14ac:dyDescent="0.2">
      <c r="A15" s="64"/>
      <c r="B15" s="294" t="s">
        <v>78</v>
      </c>
      <c r="C15" s="63"/>
      <c r="D15" s="63"/>
      <c r="E15" s="63"/>
      <c r="F15" s="63"/>
      <c r="G15" s="63"/>
      <c r="H15" s="63"/>
      <c r="I15" s="57"/>
      <c r="J15" s="57"/>
    </row>
    <row r="16" spans="1:10" x14ac:dyDescent="0.2">
      <c r="A16" s="64"/>
      <c r="B16" s="294" t="s">
        <v>116</v>
      </c>
      <c r="C16" s="63"/>
      <c r="D16" s="63"/>
      <c r="E16" s="63"/>
      <c r="F16" s="63"/>
      <c r="G16" s="63"/>
      <c r="H16" s="63"/>
      <c r="I16" s="57"/>
      <c r="J16" s="57"/>
    </row>
    <row r="17" spans="1:10" x14ac:dyDescent="0.2">
      <c r="A17" s="64"/>
      <c r="B17" s="294"/>
      <c r="C17" s="63"/>
      <c r="D17" s="63"/>
      <c r="E17" s="63"/>
      <c r="F17" s="63"/>
      <c r="G17" s="63"/>
      <c r="H17" s="63"/>
      <c r="I17" s="57"/>
      <c r="J17" s="57"/>
    </row>
    <row r="18" spans="1:10" x14ac:dyDescent="0.2">
      <c r="A18" s="64"/>
      <c r="B18" s="294" t="s">
        <v>244</v>
      </c>
      <c r="C18" s="63"/>
      <c r="D18" s="63"/>
      <c r="E18" s="63"/>
      <c r="F18" s="63"/>
      <c r="G18" s="63"/>
      <c r="H18" s="63"/>
      <c r="I18" s="57"/>
      <c r="J18" s="57"/>
    </row>
    <row r="19" spans="1:10" x14ac:dyDescent="0.2">
      <c r="A19" s="64"/>
      <c r="B19" s="294" t="s">
        <v>36</v>
      </c>
      <c r="C19" s="63"/>
      <c r="D19" s="63"/>
      <c r="E19" s="63"/>
      <c r="F19" s="63"/>
      <c r="G19" s="63"/>
      <c r="H19" s="63"/>
      <c r="I19" s="57"/>
      <c r="J19" s="57"/>
    </row>
    <row r="20" spans="1:10" x14ac:dyDescent="0.2">
      <c r="A20" s="64"/>
      <c r="B20" s="294"/>
      <c r="C20" s="63"/>
      <c r="D20" s="63"/>
      <c r="E20" s="63"/>
      <c r="F20" s="63"/>
      <c r="G20" s="63"/>
      <c r="H20" s="63"/>
      <c r="I20" s="57"/>
      <c r="J20" s="57"/>
    </row>
    <row r="21" spans="1:10" x14ac:dyDescent="0.2">
      <c r="A21" s="64"/>
      <c r="B21" s="294" t="s">
        <v>246</v>
      </c>
      <c r="C21" s="63"/>
      <c r="D21" s="63"/>
      <c r="E21" s="63"/>
      <c r="F21" s="63"/>
      <c r="G21" s="63"/>
      <c r="H21" s="63"/>
      <c r="I21" s="57"/>
      <c r="J21" s="57"/>
    </row>
    <row r="22" spans="1:10" x14ac:dyDescent="0.2">
      <c r="A22" s="64"/>
      <c r="B22" s="294"/>
      <c r="C22" s="63"/>
      <c r="D22" s="63"/>
      <c r="E22" s="63"/>
      <c r="F22" s="63"/>
      <c r="G22" s="63"/>
      <c r="H22" s="63"/>
      <c r="I22" s="57"/>
      <c r="J22" s="57"/>
    </row>
    <row r="23" spans="1:10" x14ac:dyDescent="0.2">
      <c r="A23" s="64"/>
      <c r="B23" s="294" t="s">
        <v>146</v>
      </c>
      <c r="C23" s="63"/>
      <c r="D23" s="63"/>
      <c r="E23" s="63"/>
      <c r="F23" s="63"/>
      <c r="G23" s="63"/>
      <c r="H23" s="63"/>
      <c r="I23" s="57"/>
      <c r="J23" s="57"/>
    </row>
    <row r="24" spans="1:10" x14ac:dyDescent="0.2">
      <c r="A24" s="64"/>
      <c r="B24" s="294" t="s">
        <v>147</v>
      </c>
      <c r="C24" s="63"/>
      <c r="D24" s="63"/>
      <c r="E24" s="63"/>
      <c r="F24" s="63"/>
      <c r="G24" s="63"/>
      <c r="H24" s="63"/>
      <c r="I24" s="57"/>
      <c r="J24" s="57"/>
    </row>
    <row r="25" spans="1:10" x14ac:dyDescent="0.2">
      <c r="A25" s="64"/>
      <c r="B25" s="294"/>
      <c r="C25" s="63"/>
      <c r="D25" s="63"/>
      <c r="E25" s="63"/>
      <c r="F25" s="63"/>
      <c r="G25" s="63"/>
      <c r="H25" s="63"/>
      <c r="I25" s="57"/>
      <c r="J25" s="57"/>
    </row>
    <row r="26" spans="1:10" x14ac:dyDescent="0.2">
      <c r="A26" s="64"/>
      <c r="B26" s="294" t="s">
        <v>242</v>
      </c>
      <c r="C26" s="63"/>
      <c r="D26" s="63"/>
      <c r="E26" s="63"/>
      <c r="F26" s="63"/>
      <c r="G26" s="63"/>
      <c r="H26" s="63"/>
      <c r="I26" s="57"/>
      <c r="J26" s="57"/>
    </row>
    <row r="27" spans="1:10" x14ac:dyDescent="0.2">
      <c r="A27" s="64"/>
      <c r="B27" s="294" t="s">
        <v>243</v>
      </c>
      <c r="C27" s="63"/>
      <c r="D27" s="63"/>
      <c r="E27" s="63"/>
      <c r="F27" s="63"/>
      <c r="G27" s="63"/>
      <c r="H27" s="63"/>
      <c r="I27" s="57"/>
      <c r="J27" s="57"/>
    </row>
    <row r="28" spans="1:10" x14ac:dyDescent="0.2">
      <c r="A28" s="64"/>
      <c r="B28" s="294"/>
      <c r="C28" s="63"/>
      <c r="D28" s="63"/>
      <c r="E28" s="63"/>
      <c r="F28" s="63"/>
      <c r="G28" s="63"/>
      <c r="H28" s="63"/>
      <c r="I28" s="57"/>
      <c r="J28" s="57"/>
    </row>
    <row r="29" spans="1:10" x14ac:dyDescent="0.2">
      <c r="A29" s="64"/>
      <c r="B29" s="294" t="s">
        <v>247</v>
      </c>
      <c r="C29" s="63"/>
      <c r="D29" s="63"/>
      <c r="E29" s="63"/>
      <c r="F29" s="63"/>
      <c r="G29" s="63"/>
      <c r="H29" s="63"/>
      <c r="I29" s="57"/>
      <c r="J29" s="57"/>
    </row>
    <row r="30" spans="1:10" x14ac:dyDescent="0.2">
      <c r="A30" s="64"/>
      <c r="B30" s="294" t="s">
        <v>248</v>
      </c>
      <c r="C30" s="63"/>
      <c r="D30" s="63"/>
      <c r="E30" s="63"/>
      <c r="F30" s="63"/>
      <c r="G30" s="63"/>
      <c r="H30" s="63"/>
      <c r="I30" s="57"/>
      <c r="J30" s="57"/>
    </row>
    <row r="31" spans="1:10" x14ac:dyDescent="0.2">
      <c r="A31" s="64"/>
      <c r="B31" s="63"/>
      <c r="C31" s="63"/>
      <c r="D31" s="63"/>
      <c r="E31" s="63"/>
      <c r="F31" s="63"/>
      <c r="G31" s="63"/>
      <c r="H31" s="63"/>
      <c r="I31" s="57"/>
      <c r="J31" s="57"/>
    </row>
    <row r="32" spans="1:10" x14ac:dyDescent="0.2">
      <c r="A32" s="62"/>
      <c r="B32" s="63"/>
      <c r="C32" s="57"/>
      <c r="D32" s="57"/>
      <c r="E32" s="57"/>
      <c r="F32" s="57"/>
      <c r="G32" s="57"/>
      <c r="H32" s="57"/>
      <c r="I32" s="57"/>
      <c r="J32" s="57"/>
    </row>
    <row r="33" spans="1:10" x14ac:dyDescent="0.2">
      <c r="A33" s="65" t="s">
        <v>34</v>
      </c>
      <c r="B33" s="66"/>
      <c r="C33" s="66"/>
      <c r="D33" s="66"/>
      <c r="E33" s="66"/>
      <c r="F33" s="66"/>
      <c r="G33" s="66"/>
      <c r="H33" s="66"/>
      <c r="I33" s="66"/>
      <c r="J33" s="66"/>
    </row>
    <row r="34" spans="1:10" x14ac:dyDescent="0.2">
      <c r="A34" s="62"/>
      <c r="B34" s="57"/>
      <c r="C34" s="57"/>
      <c r="D34" s="57"/>
      <c r="E34" s="57"/>
      <c r="F34" s="57"/>
      <c r="G34" s="57"/>
      <c r="H34" s="57"/>
      <c r="I34" s="57"/>
      <c r="J34" s="57"/>
    </row>
  </sheetData>
  <sheetProtection password="D040" sheet="1" objects="1" scenarios="1"/>
  <phoneticPr fontId="0" type="noConversion"/>
  <pageMargins left="0.75" right="0.75" top="1" bottom="1" header="0.5" footer="0.5"/>
  <pageSetup orientation="landscape"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V38"/>
  <sheetViews>
    <sheetView zoomScale="70" zoomScaleNormal="70" workbookViewId="0">
      <selection activeCell="H36" sqref="H36"/>
    </sheetView>
  </sheetViews>
  <sheetFormatPr defaultRowHeight="12.75" x14ac:dyDescent="0.2"/>
  <cols>
    <col min="1" max="1" width="18.5703125" style="17" bestFit="1" customWidth="1"/>
    <col min="2" max="2" width="11" style="17" customWidth="1"/>
    <col min="3" max="3" width="4.42578125" style="17" customWidth="1"/>
    <col min="4" max="4" width="9.7109375" style="17" customWidth="1"/>
    <col min="5" max="5" width="8.7109375" style="17" customWidth="1"/>
    <col min="6" max="6" width="8" style="17" customWidth="1"/>
    <col min="7" max="7" width="4.42578125" style="17" bestFit="1" customWidth="1"/>
    <col min="8" max="18" width="14.7109375" style="17" customWidth="1"/>
    <col min="19" max="19" width="15" style="17" customWidth="1"/>
    <col min="20" max="16384" width="9.140625" style="17"/>
  </cols>
  <sheetData>
    <row r="3" spans="1:21" ht="18" x14ac:dyDescent="0.2">
      <c r="A3" s="307" t="str">
        <f>""&amp;'Inventory Calculator'!I4&amp;" Feed Cost Summary"</f>
        <v xml:space="preserve"> Feed Cost Summary</v>
      </c>
      <c r="B3" s="307"/>
      <c r="C3" s="307"/>
      <c r="D3" s="307"/>
      <c r="E3" s="307"/>
      <c r="F3" s="307"/>
      <c r="G3" s="307"/>
      <c r="H3" s="307"/>
      <c r="I3" s="307"/>
      <c r="J3" s="307"/>
      <c r="K3" s="307"/>
      <c r="L3" s="307"/>
      <c r="M3" s="307"/>
      <c r="N3" s="307"/>
      <c r="O3" s="307"/>
      <c r="P3" s="307"/>
      <c r="Q3" s="307"/>
      <c r="R3" s="220"/>
      <c r="S3" s="220"/>
      <c r="T3" s="220"/>
      <c r="U3" s="220"/>
    </row>
    <row r="5" spans="1:21" s="28" customFormat="1" ht="51.75" customHeight="1" thickBot="1" x14ac:dyDescent="0.25">
      <c r="A5" s="26" t="s">
        <v>0</v>
      </c>
      <c r="B5" s="305" t="s">
        <v>81</v>
      </c>
      <c r="C5" s="305"/>
      <c r="D5" s="221" t="s">
        <v>20</v>
      </c>
      <c r="E5" s="221" t="s">
        <v>24</v>
      </c>
      <c r="F5" s="313" t="s">
        <v>82</v>
      </c>
      <c r="G5" s="313"/>
      <c r="H5" s="221" t="s">
        <v>13</v>
      </c>
      <c r="I5" s="221" t="s">
        <v>17</v>
      </c>
      <c r="J5" s="221" t="s">
        <v>18</v>
      </c>
      <c r="K5" s="221" t="s">
        <v>19</v>
      </c>
      <c r="L5" s="200" t="s">
        <v>33</v>
      </c>
      <c r="M5" s="221" t="s">
        <v>29</v>
      </c>
      <c r="N5" s="221" t="s">
        <v>25</v>
      </c>
      <c r="O5" s="221" t="s">
        <v>212</v>
      </c>
      <c r="P5" s="221" t="s">
        <v>213</v>
      </c>
      <c r="Q5" s="221" t="s">
        <v>32</v>
      </c>
    </row>
    <row r="6" spans="1:21" x14ac:dyDescent="0.2">
      <c r="A6" s="29" t="str">
        <f>IF(Feeds!A3&gt;0,Feeds!A3,"")</f>
        <v/>
      </c>
      <c r="B6" s="33" t="str">
        <f>IF(SUM('Proposed Rations'!C4:L4)&gt;0,(SUMPRODUCT(('Proposed Rations'!C4:L4/Feeds!E3),'Proposed Rations'!C$27:L$27,'Proposed Rations'!C$28:L$28)/Feeds!C3),"")</f>
        <v/>
      </c>
      <c r="C6" s="30" t="str">
        <f>IF(SUM('Proposed Rations'!C4:L4)&gt;0,Feeds!B3,"")</f>
        <v/>
      </c>
      <c r="D6" s="31" t="str">
        <f>IF(SUM('Proposed Rations'!C4:L4)&gt;0,(B6/(1-Feeds!F3))-B6,"")</f>
        <v/>
      </c>
      <c r="E6" s="32" t="str">
        <f>IF(SUM('Proposed Rations'!C4:L4)&gt;0,D6*Feeds!D3,"")</f>
        <v/>
      </c>
      <c r="F6" s="33" t="str">
        <f>IF(SUM('Proposed Rations'!C4:L4)&gt;0,(SUM(D6,B6)),"")</f>
        <v/>
      </c>
      <c r="G6" s="30" t="str">
        <f>IF(SUM('Proposed Rations'!C4:L4)&gt;0,Feeds!B3,"")</f>
        <v/>
      </c>
      <c r="H6" s="32" t="str">
        <f>IF(SUM('Proposed Rations'!C4:L4)&gt;0,F6*Feeds!D3,"")</f>
        <v/>
      </c>
      <c r="I6" s="32" t="str">
        <f>IF(SUM('Proposed Rations'!C4:L4)&gt;0,IF(Feeds!K3=TRUE,H6,""),"")</f>
        <v/>
      </c>
      <c r="J6" s="32" t="str">
        <f>IF(SUM('Proposed Rations'!C4:L4)&gt;0,IF(Feeds!K3=FALSE,H6,""),"")</f>
        <v/>
      </c>
      <c r="K6" s="32" t="str">
        <f>IF(SUM('Proposed Rations'!C4:L4)&gt;0,IF(Feeds!J3=TRUE,H6,""),"")</f>
        <v/>
      </c>
      <c r="L6" s="32" t="str">
        <f>IF(SUM('Proposed Rations'!C4:L4)&gt;0,IF(Feeds!J3=TRUE,(IF(Feeds!K3=FALSE,H6,"")),""),"")</f>
        <v/>
      </c>
      <c r="M6" s="32" t="str">
        <f>IF(SUM('Proposed Rations'!C4:L4)&gt;0,IF(Feeds!J3=TRUE,(IF(Feeds!K3=TRUE,H6,"")),""),"")</f>
        <v/>
      </c>
      <c r="N6" s="32" t="str">
        <f>IF(SUM('Proposed Rations'!D4:O4)&gt;0,IF(Feeds!J3=FALSE,H6,""),"")</f>
        <v/>
      </c>
      <c r="O6" s="216" t="str">
        <f>IF(SUM('Proposed Rations'!C81:L81)&gt;0,((SUMPRODUCT('Proposed Rations'!C81:L81,'Proposed Rations'!C$27:L$27)/(SUMPRODUCT('Proposed Rations'!C81:L81,'Proposed Rations'!C$27:L$27)+SUMPRODUCT('Proposed Rations'!C106:L106,'Proposed Rations'!C$27:L$27)+SUMPRODUCT('Proposed Rations'!C131:L131,'Proposed Rations'!C$27:L$27))*H6)),"")</f>
        <v/>
      </c>
      <c r="P6" s="32" t="str">
        <f>IF(SUM('Proposed Rations'!C106:L106)&gt;0,((SUMPRODUCT('Proposed Rations'!C106:L106,'Proposed Rations'!C$27:L$27)/(SUMPRODUCT('Proposed Rations'!C81:L81,'Proposed Rations'!C$27:L$27)+SUMPRODUCT('Proposed Rations'!C106:L106,'Proposed Rations'!C$27:L$27)+SUMPRODUCT('Proposed Rations'!C131:L131,'Proposed Rations'!C$27:L$27))*H6)),"")</f>
        <v/>
      </c>
      <c r="Q6" s="32" t="str">
        <f>IF(SUM('Proposed Rations'!C131:L131)&gt;0,((SUMPRODUCT('Proposed Rations'!C131:L131,'Proposed Rations'!C$27:L$27)/(SUMPRODUCT('Proposed Rations'!C81:L81,'Proposed Rations'!C$27:L$27)+SUMPRODUCT('Proposed Rations'!C106:L106,'Proposed Rations'!C$27:L$27)+SUMPRODUCT('Proposed Rations'!C131:L131,'Proposed Rations'!C$27:L$27))*H6)),"")</f>
        <v/>
      </c>
    </row>
    <row r="7" spans="1:21" x14ac:dyDescent="0.2">
      <c r="A7" s="29" t="str">
        <f>IF(Feeds!A4&gt;0,Feeds!A4,"")</f>
        <v/>
      </c>
      <c r="B7" s="37" t="str">
        <f>IF(SUM('Proposed Rations'!C5:L5)&gt;0,(SUMPRODUCT(('Proposed Rations'!C5:L5/Feeds!E4),'Proposed Rations'!C$27:L$27,'Proposed Rations'!C$28:L$28)/Feeds!C4),"")</f>
        <v/>
      </c>
      <c r="C7" s="34" t="str">
        <f>IF(SUM('Proposed Rations'!C5:L5)&gt;0,Feeds!B4,"")</f>
        <v/>
      </c>
      <c r="D7" s="35" t="str">
        <f>IF(SUM('Proposed Rations'!C5:L5)&gt;0,(B7/(1-Feeds!F4))-'Proposed Rations Cost Summary'!B7,"")</f>
        <v/>
      </c>
      <c r="E7" s="36" t="str">
        <f>IF(SUM('Proposed Rations'!C5:L5)&gt;0,D7*Feeds!D4,"")</f>
        <v/>
      </c>
      <c r="F7" s="37" t="str">
        <f>IF(SUM('Proposed Rations'!C5:L5)&gt;0,(SUM(D7,B7)),"")</f>
        <v/>
      </c>
      <c r="G7" s="38" t="str">
        <f>IF(SUM('Proposed Rations'!C5:L5)&gt;0,Feeds!B4,"")</f>
        <v/>
      </c>
      <c r="H7" s="36" t="str">
        <f>IF(SUM('Proposed Rations'!C5:L5)&gt;0,F7*Feeds!D4,"")</f>
        <v/>
      </c>
      <c r="I7" s="36" t="str">
        <f>IF(SUM('Proposed Rations'!C5:L5)&gt;0,IF(Feeds!K4=TRUE,H7,""),"")</f>
        <v/>
      </c>
      <c r="J7" s="36" t="str">
        <f>IF(SUM('Proposed Rations'!C5:L5)&gt;0,IF(Feeds!K4=FALSE,H7,""),"")</f>
        <v/>
      </c>
      <c r="K7" s="36" t="str">
        <f>IF(SUM('Proposed Rations'!C5:L5)&gt;0,IF(Feeds!J4=TRUE,H7,""),"")</f>
        <v/>
      </c>
      <c r="L7" s="36" t="str">
        <f>IF(SUM('Proposed Rations'!C5:L5)&gt;0,IF(Feeds!J4=TRUE,(IF(Feeds!K4=FALSE,H7,"")),""),"")</f>
        <v/>
      </c>
      <c r="M7" s="36" t="str">
        <f>IF(SUM('Proposed Rations'!C5:L5)&gt;0,IF(Feeds!J4=TRUE,(IF(Feeds!K4=TRUE,H7,"")),""),"")</f>
        <v/>
      </c>
      <c r="N7" s="36" t="str">
        <f>IF(SUM('Proposed Rations'!D5:O5)&gt;0,IF(Feeds!J4=FALSE,H7,""),"")</f>
        <v/>
      </c>
      <c r="O7" s="217" t="str">
        <f>IF(SUM('Proposed Rations'!C82:L82)&gt;0,((SUMPRODUCT('Proposed Rations'!C82:L82,'Proposed Rations'!C$27:L$27)/(SUMPRODUCT('Proposed Rations'!C82:L82,'Proposed Rations'!C$27:L$27)+SUMPRODUCT('Proposed Rations'!C107:L107,'Proposed Rations'!C$27:L$27)+SUMPRODUCT('Proposed Rations'!C132:L132,'Proposed Rations'!C$27:L$27))*H7)),"")</f>
        <v/>
      </c>
      <c r="P7" s="219" t="str">
        <f>IF(SUM('Proposed Rations'!C107:L107)&gt;0,((SUMPRODUCT('Proposed Rations'!C107:L107,'Proposed Rations'!C$27:L$27)/(SUMPRODUCT('Proposed Rations'!C82:L82,'Proposed Rations'!C$27:L$27)+SUMPRODUCT('Proposed Rations'!C107:L107,'Proposed Rations'!C$27:L$27)+SUMPRODUCT('Proposed Rations'!C132:L132,'Proposed Rations'!C$27:L$27))*H7)),"")</f>
        <v/>
      </c>
      <c r="Q7" s="36" t="str">
        <f>IF(SUM('Proposed Rations'!C132:L132)&gt;0,((SUMPRODUCT('Proposed Rations'!C132:L132,'Proposed Rations'!C$27:L$27)/(SUMPRODUCT('Proposed Rations'!C82:L82,'Proposed Rations'!C$27:L$27)+SUMPRODUCT('Proposed Rations'!C107:L107,'Proposed Rations'!C$27:L$27)+SUMPRODUCT('Proposed Rations'!C132:L132,'Proposed Rations'!C$27:L$27))*H7)),"")</f>
        <v/>
      </c>
    </row>
    <row r="8" spans="1:21" x14ac:dyDescent="0.2">
      <c r="A8" s="29" t="str">
        <f>IF(Feeds!A5&gt;0,Feeds!A5,"")</f>
        <v/>
      </c>
      <c r="B8" s="37" t="str">
        <f>IF(SUM('Proposed Rations'!C6:L6)&gt;0,(SUMPRODUCT(('Proposed Rations'!C6:L6/Feeds!E5),'Proposed Rations'!C$27:L$27,'Proposed Rations'!C$28:L$28)/Feeds!C5),"")</f>
        <v/>
      </c>
      <c r="C8" s="34" t="str">
        <f>IF(SUM('Proposed Rations'!C6:L6)&gt;0,Feeds!B5,"")</f>
        <v/>
      </c>
      <c r="D8" s="35" t="str">
        <f>IF(SUM('Proposed Rations'!C6:L6)&gt;0,(B8/(1-Feeds!F5))-'Proposed Rations Cost Summary'!B8,"")</f>
        <v/>
      </c>
      <c r="E8" s="36" t="str">
        <f>IF(SUM('Proposed Rations'!C6:L6)&gt;0,D8*Feeds!D5,"")</f>
        <v/>
      </c>
      <c r="F8" s="37" t="str">
        <f>IF(SUM('Proposed Rations'!C6:L6)&gt;0,(SUM(D8,B8)),"")</f>
        <v/>
      </c>
      <c r="G8" s="38" t="str">
        <f>IF(SUM('Proposed Rations'!C6:L6)&gt;0,Feeds!B5,"")</f>
        <v/>
      </c>
      <c r="H8" s="36" t="str">
        <f>IF(SUM('Proposed Rations'!C6:L6)&gt;0,F8*Feeds!D5,"")</f>
        <v/>
      </c>
      <c r="I8" s="36" t="str">
        <f>IF(SUM('Proposed Rations'!C6:L6)&gt;0,IF(Feeds!K5=TRUE,H8,""),"")</f>
        <v/>
      </c>
      <c r="J8" s="36" t="str">
        <f>IF(SUM('Proposed Rations'!C6:L6)&gt;0,IF(Feeds!K5=FALSE,H8,""),"")</f>
        <v/>
      </c>
      <c r="K8" s="36" t="str">
        <f>IF(SUM('Proposed Rations'!C6:L6)&gt;0,IF(Feeds!J5=TRUE,H8,""),"")</f>
        <v/>
      </c>
      <c r="L8" s="36" t="str">
        <f>IF(SUM('Proposed Rations'!C6:L6)&gt;0,IF(Feeds!J5=TRUE,(IF(Feeds!K5=FALSE,H8,"")),""),"")</f>
        <v/>
      </c>
      <c r="M8" s="36" t="str">
        <f>IF(SUM('Proposed Rations'!C6:L6)&gt;0,IF(Feeds!J5=TRUE,(IF(Feeds!K5=TRUE,H8,"")),""),"")</f>
        <v/>
      </c>
      <c r="N8" s="36" t="str">
        <f>IF(SUM('Proposed Rations'!D6:O6)&gt;0,IF(Feeds!J5=FALSE,H8,""),"")</f>
        <v/>
      </c>
      <c r="O8" s="217" t="str">
        <f>IF(SUM('Proposed Rations'!C83:L83)&gt;0,((SUMPRODUCT('Proposed Rations'!C83:L83,'Proposed Rations'!C$27:L$27)/(SUMPRODUCT('Proposed Rations'!C83:L83,'Proposed Rations'!C$27:L$27)+SUMPRODUCT('Proposed Rations'!C108:L108,'Proposed Rations'!C$27:L$27)+SUMPRODUCT('Proposed Rations'!C133:L133,'Proposed Rations'!C$27:L$27))*H8)),"")</f>
        <v/>
      </c>
      <c r="P8" s="36" t="str">
        <f>IF(SUM('Proposed Rations'!C108:L108)&gt;0,((SUMPRODUCT('Proposed Rations'!C108:L108,'Proposed Rations'!C$27:L$27)/(SUMPRODUCT('Proposed Rations'!C83:L83,'Proposed Rations'!C$27:L$27)+SUMPRODUCT('Proposed Rations'!C108:L108,'Proposed Rations'!C$27:L$27)+SUMPRODUCT('Proposed Rations'!C133:L133,'Proposed Rations'!C$27:L$27))*H8)),"")</f>
        <v/>
      </c>
      <c r="Q8" s="36" t="str">
        <f>IF(SUM('Proposed Rations'!C133:L133)&gt;0,((SUMPRODUCT('Proposed Rations'!C133:L133,'Proposed Rations'!C$27:L$27)/(SUMPRODUCT('Proposed Rations'!C83:L83,'Proposed Rations'!C$27:L$27)+SUMPRODUCT('Proposed Rations'!C108:L108,'Proposed Rations'!C$27:L$27)+SUMPRODUCT('Proposed Rations'!C133:L133,'Proposed Rations'!C$27:L$27))*H8)),"")</f>
        <v/>
      </c>
    </row>
    <row r="9" spans="1:21" x14ac:dyDescent="0.2">
      <c r="A9" s="29" t="str">
        <f>IF(Feeds!A6&gt;0,Feeds!A6,"")</f>
        <v/>
      </c>
      <c r="B9" s="37" t="str">
        <f>IF(SUM('Proposed Rations'!C7:L7)&gt;0,(SUMPRODUCT(('Proposed Rations'!C7:L7/Feeds!E6),'Proposed Rations'!C$27:L$27,'Proposed Rations'!C$28:L$28)/Feeds!C6),"")</f>
        <v/>
      </c>
      <c r="C9" s="34" t="str">
        <f>IF(SUM('Proposed Rations'!C7:L7)&gt;0,Feeds!B6,"")</f>
        <v/>
      </c>
      <c r="D9" s="35" t="str">
        <f>IF(SUM('Proposed Rations'!C7:L7)&gt;0,(B9/(1-Feeds!F6))-'Proposed Rations Cost Summary'!B9,"")</f>
        <v/>
      </c>
      <c r="E9" s="36" t="str">
        <f>IF(SUM('Proposed Rations'!C7:L7)&gt;0,D9*Feeds!D6,"")</f>
        <v/>
      </c>
      <c r="F9" s="37" t="str">
        <f>IF(SUM('Proposed Rations'!C7:L7)&gt;0,(SUM(D9,B9)),"")</f>
        <v/>
      </c>
      <c r="G9" s="38" t="str">
        <f>IF(SUM('Proposed Rations'!C7:L7)&gt;0,Feeds!B6,"")</f>
        <v/>
      </c>
      <c r="H9" s="36" t="str">
        <f>IF(SUM('Proposed Rations'!C7:L7)&gt;0,F9*Feeds!D6,"")</f>
        <v/>
      </c>
      <c r="I9" s="36" t="str">
        <f>IF(SUM('Proposed Rations'!C7:L7)&gt;0,IF(Feeds!K6=TRUE,H9,""),"")</f>
        <v/>
      </c>
      <c r="J9" s="36" t="str">
        <f>IF(SUM('Proposed Rations'!C7:L7)&gt;0,IF(Feeds!K6=FALSE,H9,""),"")</f>
        <v/>
      </c>
      <c r="K9" s="36" t="str">
        <f>IF(SUM('Proposed Rations'!C7:L7)&gt;0,IF(Feeds!J6=TRUE,H9,""),"")</f>
        <v/>
      </c>
      <c r="L9" s="36" t="str">
        <f>IF(SUM('Proposed Rations'!C7:L7)&gt;0,IF(Feeds!J6=TRUE,(IF(Feeds!K6=FALSE,H9,"")),""),"")</f>
        <v/>
      </c>
      <c r="M9" s="36" t="str">
        <f>IF(SUM('Proposed Rations'!C7:L7)&gt;0,IF(Feeds!J6=TRUE,(IF(Feeds!K6=TRUE,H9,"")),""),"")</f>
        <v/>
      </c>
      <c r="N9" s="36" t="str">
        <f>IF(SUM('Proposed Rations'!D7:O7)&gt;0,IF(Feeds!J6=FALSE,H9,""),"")</f>
        <v/>
      </c>
      <c r="O9" s="217" t="str">
        <f>IF(SUM('Proposed Rations'!C84:L84)&gt;0,((SUMPRODUCT('Proposed Rations'!C84:L84,'Proposed Rations'!C$27:L$27)/(SUMPRODUCT('Proposed Rations'!C84:L84,'Proposed Rations'!C$27:L$27)+SUMPRODUCT('Proposed Rations'!C109:L109,'Proposed Rations'!C$27:L$27)+SUMPRODUCT('Proposed Rations'!C134:L134,'Proposed Rations'!C$27:L$27))*H9)),"")</f>
        <v/>
      </c>
      <c r="P9" s="219" t="str">
        <f>IF(SUM('Proposed Rations'!C109:L109)&gt;0,((SUMPRODUCT('Proposed Rations'!C109:L109,'Proposed Rations'!C$27:L$27)/(SUMPRODUCT('Proposed Rations'!C84:L84,'Proposed Rations'!C$27:L$27)+SUMPRODUCT('Proposed Rations'!C109:L109,'Proposed Rations'!C$27:L$27)+SUMPRODUCT('Proposed Rations'!C134:L134,'Proposed Rations'!C$27:L$27))*H9)),"")</f>
        <v/>
      </c>
      <c r="Q9" s="219" t="str">
        <f>IF(SUM('Proposed Rations'!C134:L134)&gt;0,((SUMPRODUCT('Proposed Rations'!C134:L134,'Proposed Rations'!C$27:L$27)/(SUMPRODUCT('Proposed Rations'!C84:L84,'Proposed Rations'!C$27:L$27)+SUMPRODUCT('Proposed Rations'!C109:L109,'Proposed Rations'!C$27:L$27)+SUMPRODUCT('Proposed Rations'!C134:L134,'Proposed Rations'!C$27:L$27))*H9)),"")</f>
        <v/>
      </c>
    </row>
    <row r="10" spans="1:21" x14ac:dyDescent="0.2">
      <c r="A10" s="29" t="str">
        <f>IF(Feeds!A7&gt;0,Feeds!A7,"")</f>
        <v/>
      </c>
      <c r="B10" s="37" t="str">
        <f>IF(SUM('Proposed Rations'!C8:L8)&gt;0,(SUMPRODUCT(('Proposed Rations'!C8:L8/Feeds!E7),'Proposed Rations'!C$27:L$27,'Proposed Rations'!C$28:L$28)/Feeds!C7),"")</f>
        <v/>
      </c>
      <c r="C10" s="34" t="str">
        <f>IF(SUM('Proposed Rations'!C8:L8)&gt;0,Feeds!B7,"")</f>
        <v/>
      </c>
      <c r="D10" s="35" t="str">
        <f>IF(SUM('Proposed Rations'!C8:L8)&gt;0,(B10/(1-Feeds!F7))-'Proposed Rations Cost Summary'!B10,"")</f>
        <v/>
      </c>
      <c r="E10" s="36" t="str">
        <f>IF(SUM('Proposed Rations'!C8:L8)&gt;0,D10*Feeds!D7,"")</f>
        <v/>
      </c>
      <c r="F10" s="37" t="str">
        <f>IF(SUM('Proposed Rations'!C8:L8)&gt;0,(SUM(D10,B10)),"")</f>
        <v/>
      </c>
      <c r="G10" s="38" t="str">
        <f>IF(SUM('Proposed Rations'!C8:L8)&gt;0,Feeds!B7,"")</f>
        <v/>
      </c>
      <c r="H10" s="36" t="str">
        <f>IF(SUM('Proposed Rations'!C8:L8)&gt;0,F10*Feeds!D7,"")</f>
        <v/>
      </c>
      <c r="I10" s="36" t="str">
        <f>IF(SUM('Proposed Rations'!C8:L8)&gt;0,IF(Feeds!K7=TRUE,H10,""),"")</f>
        <v/>
      </c>
      <c r="J10" s="36" t="str">
        <f>IF(SUM('Proposed Rations'!C8:L8)&gt;0,IF(Feeds!K7=FALSE,H10,""),"")</f>
        <v/>
      </c>
      <c r="K10" s="36" t="str">
        <f>IF(SUM('Proposed Rations'!C8:L8)&gt;0,IF(Feeds!J7=TRUE,H10,""),"")</f>
        <v/>
      </c>
      <c r="L10" s="36" t="str">
        <f>IF(SUM('Proposed Rations'!C8:L8)&gt;0,IF(Feeds!J7=TRUE,(IF(Feeds!K7=FALSE,H10,"")),""),"")</f>
        <v/>
      </c>
      <c r="M10" s="36" t="str">
        <f>IF(SUM('Proposed Rations'!C8:L8)&gt;0,IF(Feeds!J7=TRUE,(IF(Feeds!K7=TRUE,H10,"")),""),"")</f>
        <v/>
      </c>
      <c r="N10" s="36" t="str">
        <f>IF(SUM('Proposed Rations'!D8:O8)&gt;0,IF(Feeds!J7=FALSE,H10,""),"")</f>
        <v/>
      </c>
      <c r="O10" s="36" t="str">
        <f>IF(SUM('Proposed Rations'!C85:L85)&gt;0,((SUMPRODUCT('Proposed Rations'!C85:L85,'Proposed Rations'!C$27:L$27)/(SUMPRODUCT('Proposed Rations'!C85:L85,'Proposed Rations'!C$27:L$27)+SUMPRODUCT('Proposed Rations'!C110:L110,'Proposed Rations'!C$27:L$27)+SUMPRODUCT('Proposed Rations'!C135:L135,'Proposed Rations'!C$27:L$27))*H10)),"")</f>
        <v/>
      </c>
      <c r="P10" s="36" t="str">
        <f>IF(SUM('Proposed Rations'!C110:L110)&gt;0,((SUMPRODUCT('Proposed Rations'!C110:L110,'Proposed Rations'!C$27:L$27)/(SUMPRODUCT('Proposed Rations'!C85:L85,'Proposed Rations'!C$27:L$27)+SUMPRODUCT('Proposed Rations'!C110:L110,'Proposed Rations'!C$27:L$27)+SUMPRODUCT('Proposed Rations'!C135:L135,'Proposed Rations'!C$27:L$27))*H10)),"")</f>
        <v/>
      </c>
      <c r="Q10" s="217" t="str">
        <f>IF(SUM('Proposed Rations'!C135:L135)&gt;0,((SUMPRODUCT('Proposed Rations'!C135:L135,'Proposed Rations'!C$27:L$27)/(SUMPRODUCT('Proposed Rations'!C85:L85,'Proposed Rations'!C$27:L$27)+SUMPRODUCT('Proposed Rations'!C110:L110,'Proposed Rations'!C$27:L$27)+SUMPRODUCT('Proposed Rations'!C135:L135,'Proposed Rations'!C$27:L$27))*H10)),"")</f>
        <v/>
      </c>
    </row>
    <row r="11" spans="1:21" x14ac:dyDescent="0.2">
      <c r="A11" s="29" t="str">
        <f>IF(Feeds!A8&gt;0,Feeds!A8,"")</f>
        <v/>
      </c>
      <c r="B11" s="37" t="str">
        <f>IF(SUM('Proposed Rations'!C9:L9)&gt;0,(SUMPRODUCT(('Proposed Rations'!C9:L9/Feeds!E8),'Proposed Rations'!C$27:L$27,'Proposed Rations'!C$28:L$28)/Feeds!C8),"")</f>
        <v/>
      </c>
      <c r="C11" s="34" t="str">
        <f>IF(SUM('Proposed Rations'!C9:L9)&gt;0,Feeds!B8,"")</f>
        <v/>
      </c>
      <c r="D11" s="35" t="str">
        <f>IF(SUM('Proposed Rations'!C9:L9)&gt;0,(B11/(1-Feeds!F8))-'Proposed Rations Cost Summary'!B11,"")</f>
        <v/>
      </c>
      <c r="E11" s="36" t="str">
        <f>IF(SUM('Proposed Rations'!C9:L9)&gt;0,D11*Feeds!D8,"")</f>
        <v/>
      </c>
      <c r="F11" s="37" t="str">
        <f>IF(SUM('Proposed Rations'!C9:L9)&gt;0,(SUM(D11,B11)),"")</f>
        <v/>
      </c>
      <c r="G11" s="38" t="str">
        <f>IF(SUM('Proposed Rations'!C9:L9)&gt;0,Feeds!B8,"")</f>
        <v/>
      </c>
      <c r="H11" s="36" t="str">
        <f>IF(SUM('Proposed Rations'!C9:L9)&gt;0,F11*Feeds!D8,"")</f>
        <v/>
      </c>
      <c r="I11" s="36" t="str">
        <f>IF(SUM('Proposed Rations'!C9:L9)&gt;0,IF(Feeds!K8=TRUE,H11,""),"")</f>
        <v/>
      </c>
      <c r="J11" s="36" t="str">
        <f>IF(SUM('Proposed Rations'!C9:L9)&gt;0,IF(Feeds!K8=FALSE,H11,""),"")</f>
        <v/>
      </c>
      <c r="K11" s="36" t="str">
        <f>IF(SUM('Proposed Rations'!C9:L9)&gt;0,IF(Feeds!J8=TRUE,H11,""),"")</f>
        <v/>
      </c>
      <c r="L11" s="36" t="str">
        <f>IF(SUM('Proposed Rations'!C9:L9)&gt;0,IF(Feeds!J8=TRUE,(IF(Feeds!K8=FALSE,H11,"")),""),"")</f>
        <v/>
      </c>
      <c r="M11" s="36" t="str">
        <f>IF(SUM('Proposed Rations'!C9:L9)&gt;0,IF(Feeds!J8=TRUE,(IF(Feeds!K8=TRUE,H11,"")),""),"")</f>
        <v/>
      </c>
      <c r="N11" s="36" t="str">
        <f>IF(SUM('Proposed Rations'!D9:O9)&gt;0,IF(Feeds!J8=FALSE,H11,""),"")</f>
        <v/>
      </c>
      <c r="O11" s="36" t="str">
        <f>IF(SUM('Proposed Rations'!C86:L86)&gt;0,((SUMPRODUCT('Proposed Rations'!C86:L86,'Proposed Rations'!C$27:L$27)/(SUMPRODUCT('Proposed Rations'!C86:L86,'Proposed Rations'!C$27:L$27)+SUMPRODUCT('Proposed Rations'!C111:L111,'Proposed Rations'!C$27:L$27)+SUMPRODUCT('Proposed Rations'!C136:L136,'Proposed Rations'!C$27:L$27))*H11)),"")</f>
        <v/>
      </c>
      <c r="P11" s="36" t="str">
        <f>IF(SUM('Proposed Rations'!C111:L111)&gt;0,((SUMPRODUCT('Proposed Rations'!C111:L111,'Proposed Rations'!C$27:L$27)/(SUMPRODUCT('Proposed Rations'!C86:L86,'Proposed Rations'!C$27:L$27)+SUMPRODUCT('Proposed Rations'!C111:L111,'Proposed Rations'!C$27:L$27)+SUMPRODUCT('Proposed Rations'!C136:L136,'Proposed Rations'!C$27:L$27))*H11)),"")</f>
        <v/>
      </c>
      <c r="Q11" s="217" t="str">
        <f>IF(SUM('Proposed Rations'!C136:L136)&gt;0,((SUMPRODUCT('Proposed Rations'!C136:L136,'Proposed Rations'!C$27:L$27)/(SUMPRODUCT('Proposed Rations'!C86:L86,'Proposed Rations'!C$27:L$27)+SUMPRODUCT('Proposed Rations'!C111:L111,'Proposed Rations'!C$27:L$27)+SUMPRODUCT('Proposed Rations'!C136:L136,'Proposed Rations'!C$27:L$27))*H11)),"")</f>
        <v/>
      </c>
    </row>
    <row r="12" spans="1:21" x14ac:dyDescent="0.2">
      <c r="A12" s="29" t="str">
        <f>IF(Feeds!A9&gt;0,Feeds!A9,"")</f>
        <v/>
      </c>
      <c r="B12" s="37" t="str">
        <f>IF(SUM('Proposed Rations'!C10:L10)&gt;0,(SUMPRODUCT(('Proposed Rations'!C10:L10/Feeds!E9),'Proposed Rations'!C$27:L$27,'Proposed Rations'!C$28:L$28)/Feeds!C9),"")</f>
        <v/>
      </c>
      <c r="C12" s="34" t="str">
        <f>IF(SUM('Proposed Rations'!C10:L10)&gt;0,Feeds!B9,"")</f>
        <v/>
      </c>
      <c r="D12" s="35" t="str">
        <f>IF(SUM('Proposed Rations'!C10:L10)&gt;0,(B12/(1-Feeds!F9))-'Proposed Rations Cost Summary'!B12,"")</f>
        <v/>
      </c>
      <c r="E12" s="36" t="str">
        <f>IF(SUM('Proposed Rations'!C10:L10)&gt;0,D12*Feeds!D9,"")</f>
        <v/>
      </c>
      <c r="F12" s="37" t="str">
        <f>IF(SUM('Proposed Rations'!C10:L10)&gt;0,(SUM(D12,B12)),"")</f>
        <v/>
      </c>
      <c r="G12" s="38" t="str">
        <f>IF(SUM('Proposed Rations'!C10:L10)&gt;0,Feeds!B9,"")</f>
        <v/>
      </c>
      <c r="H12" s="36" t="str">
        <f>IF(SUM('Proposed Rations'!C10:L10)&gt;0,F12*Feeds!D9,"")</f>
        <v/>
      </c>
      <c r="I12" s="36" t="str">
        <f>IF(SUM('Proposed Rations'!C10:L10)&gt;0,IF(Feeds!K9=TRUE,H12,""),"")</f>
        <v/>
      </c>
      <c r="J12" s="36" t="str">
        <f>IF(SUM('Proposed Rations'!C10:L10)&gt;0,IF(Feeds!K9=FALSE,H12,""),"")</f>
        <v/>
      </c>
      <c r="K12" s="36" t="str">
        <f>IF(SUM('Proposed Rations'!C10:L10)&gt;0,IF(Feeds!J9=TRUE,H12,""),"")</f>
        <v/>
      </c>
      <c r="L12" s="36" t="str">
        <f>IF(SUM('Proposed Rations'!C10:L10)&gt;0,IF(Feeds!J9=TRUE,(IF(Feeds!K9=FALSE,H12,"")),""),"")</f>
        <v/>
      </c>
      <c r="M12" s="36" t="str">
        <f>IF(SUM('Proposed Rations'!C10:L10)&gt;0,IF(Feeds!J9=TRUE,(IF(Feeds!K9=TRUE,H12,"")),""),"")</f>
        <v/>
      </c>
      <c r="N12" s="36" t="str">
        <f>IF(SUM('Proposed Rations'!D10:O10)&gt;0,IF(Feeds!J9=FALSE,H12,""),"")</f>
        <v/>
      </c>
      <c r="O12" s="36" t="str">
        <f>IF(SUM('Proposed Rations'!C87:L87)&gt;0,((SUMPRODUCT('Proposed Rations'!C87:L87,'Proposed Rations'!C$27:L$27)/(SUMPRODUCT('Proposed Rations'!C87:L87,'Proposed Rations'!C$27:L$27)+SUMPRODUCT('Proposed Rations'!C112:L112,'Proposed Rations'!C$27:L$27)+SUMPRODUCT('Proposed Rations'!C137:L137,'Proposed Rations'!C$27:L$27))*H12)),"")</f>
        <v/>
      </c>
      <c r="P12" s="219" t="str">
        <f>IF(SUM('Proposed Rations'!C112:L112)&gt;0,((SUMPRODUCT('Proposed Rations'!C112:L112,'Proposed Rations'!C$27:L$27)/(SUMPRODUCT('Proposed Rations'!C87:L87,'Proposed Rations'!C$27:L$27)+SUMPRODUCT('Proposed Rations'!C112:L112,'Proposed Rations'!C$27:L$27)+SUMPRODUCT('Proposed Rations'!C137:L137,'Proposed Rations'!C$27:L$27))*H12)),"")</f>
        <v/>
      </c>
      <c r="Q12" s="217" t="str">
        <f>IF(SUM('Proposed Rations'!C137:L137)&gt;0,((SUMPRODUCT('Proposed Rations'!C137:L137,'Proposed Rations'!C$27:L$27)/(SUMPRODUCT('Proposed Rations'!C87:L87,'Proposed Rations'!C$27:L$27)+SUMPRODUCT('Proposed Rations'!C112:L112,'Proposed Rations'!C$27:L$27)+SUMPRODUCT('Proposed Rations'!C137:L137,'Proposed Rations'!C$27:L$27))*H12)),"")</f>
        <v/>
      </c>
    </row>
    <row r="13" spans="1:21" x14ac:dyDescent="0.2">
      <c r="A13" s="29" t="str">
        <f>IF(Feeds!A10&gt;0,Feeds!A10,"")</f>
        <v/>
      </c>
      <c r="B13" s="37" t="str">
        <f>IF(SUM('Proposed Rations'!C11:L11)&gt;0,(SUMPRODUCT(('Proposed Rations'!C11:L11/Feeds!E10),'Proposed Rations'!C$27:L$27,'Proposed Rations'!C$28:L$28)/Feeds!C10),"")</f>
        <v/>
      </c>
      <c r="C13" s="34" t="str">
        <f>IF(SUM('Proposed Rations'!C11:L11)&gt;0,Feeds!B10,"")</f>
        <v/>
      </c>
      <c r="D13" s="35" t="str">
        <f>IF(SUM('Proposed Rations'!C11:L11)&gt;0,(B13/(1-Feeds!F10))-'Proposed Rations Cost Summary'!B13,"")</f>
        <v/>
      </c>
      <c r="E13" s="36" t="str">
        <f>IF(SUM('Proposed Rations'!C11:L11)&gt;0,D13*Feeds!D10,"")</f>
        <v/>
      </c>
      <c r="F13" s="37" t="str">
        <f>IF(SUM('Proposed Rations'!C11:L11)&gt;0,(SUM(D13,B13)),"")</f>
        <v/>
      </c>
      <c r="G13" s="38" t="str">
        <f>IF(SUM('Proposed Rations'!C11:L11)&gt;0,Feeds!B10,"")</f>
        <v/>
      </c>
      <c r="H13" s="36" t="str">
        <f>IF(SUM('Proposed Rations'!C11:L11)&gt;0,F13*Feeds!D10,"")</f>
        <v/>
      </c>
      <c r="I13" s="36" t="str">
        <f>IF(SUM('Proposed Rations'!C11:L11)&gt;0,IF(Feeds!K10=TRUE,H13,""),"")</f>
        <v/>
      </c>
      <c r="J13" s="36" t="str">
        <f>IF(SUM('Proposed Rations'!C11:L11)&gt;0,IF(Feeds!K10=FALSE,H13,""),"")</f>
        <v/>
      </c>
      <c r="K13" s="36" t="str">
        <f>IF(SUM('Proposed Rations'!C11:L11)&gt;0,IF(Feeds!J10=TRUE,H13,""),"")</f>
        <v/>
      </c>
      <c r="L13" s="36" t="str">
        <f>IF(SUM('Proposed Rations'!C11:L11)&gt;0,IF(Feeds!J10=TRUE,(IF(Feeds!K10=FALSE,H13,"")),""),"")</f>
        <v/>
      </c>
      <c r="M13" s="36" t="str">
        <f>IF(SUM('Proposed Rations'!C11:L11)&gt;0,IF(Feeds!J10=TRUE,(IF(Feeds!K10=TRUE,H13,"")),""),"")</f>
        <v/>
      </c>
      <c r="N13" s="36" t="str">
        <f>IF(SUM('Proposed Rations'!D11:O11)&gt;0,IF(Feeds!J10=FALSE,H13,""),"")</f>
        <v/>
      </c>
      <c r="O13" s="36" t="str">
        <f>IF(SUM('Proposed Rations'!C88:L88)&gt;0,((SUMPRODUCT('Proposed Rations'!C88:L88,'Proposed Rations'!C$27:L$27)/(SUMPRODUCT('Proposed Rations'!C88:L88,'Proposed Rations'!C$27:L$27)+SUMPRODUCT('Proposed Rations'!C113:L113,'Proposed Rations'!C$27:L$27)+SUMPRODUCT('Proposed Rations'!C138:L138,'Proposed Rations'!C$27:L$27))*H13)),"")</f>
        <v/>
      </c>
      <c r="P13" s="36" t="str">
        <f>IF(SUM('Proposed Rations'!C113:L113)&gt;0,((SUMPRODUCT('Proposed Rations'!C113:L113,'Proposed Rations'!C$27:L$27)/(SUMPRODUCT('Proposed Rations'!C88:L88,'Proposed Rations'!C$27:L$27)+SUMPRODUCT('Proposed Rations'!C113:L113,'Proposed Rations'!C$27:L$27)+SUMPRODUCT('Proposed Rations'!C138:L138,'Proposed Rations'!C$27:L$27))*H13)),"")</f>
        <v/>
      </c>
      <c r="Q13" s="217" t="str">
        <f>IF(SUM('Proposed Rations'!C138:L138)&gt;0,((SUMPRODUCT('Proposed Rations'!C138:L138,'Proposed Rations'!C$27:L$27)/(SUMPRODUCT('Proposed Rations'!C88:L88,'Proposed Rations'!C$27:L$27)+SUMPRODUCT('Proposed Rations'!C113:L113,'Proposed Rations'!C$27:L$27)+SUMPRODUCT('Proposed Rations'!C138:L138,'Proposed Rations'!C$27:L$27))*H13)),"")</f>
        <v/>
      </c>
    </row>
    <row r="14" spans="1:21" x14ac:dyDescent="0.2">
      <c r="A14" s="29" t="str">
        <f>IF(Feeds!A11&gt;0,Feeds!A11,"")</f>
        <v/>
      </c>
      <c r="B14" s="37" t="str">
        <f>IF(SUM('Proposed Rations'!C12:L12)&gt;0,(SUMPRODUCT(('Proposed Rations'!C12:L12/Feeds!E11),'Proposed Rations'!C$27:L$27,'Proposed Rations'!C$28:L$28)/Feeds!C11),"")</f>
        <v/>
      </c>
      <c r="C14" s="34" t="str">
        <f>IF(SUM('Proposed Rations'!C12:L12)&gt;0,Feeds!B11,"")</f>
        <v/>
      </c>
      <c r="D14" s="35" t="str">
        <f>IF(SUM('Proposed Rations'!C12:L12)&gt;0,(B14/(1-Feeds!F11))-'Proposed Rations Cost Summary'!B14,"")</f>
        <v/>
      </c>
      <c r="E14" s="36" t="str">
        <f>IF(SUM('Proposed Rations'!C12:L12)&gt;0,D14*Feeds!D11,"")</f>
        <v/>
      </c>
      <c r="F14" s="37" t="str">
        <f>IF(SUM('Proposed Rations'!C12:L12)&gt;0,(SUM(D14,B14)),"")</f>
        <v/>
      </c>
      <c r="G14" s="38" t="str">
        <f>IF(SUM('Proposed Rations'!C12:L12)&gt;0,Feeds!B11,"")</f>
        <v/>
      </c>
      <c r="H14" s="36" t="str">
        <f>IF(SUM('Proposed Rations'!C12:L12)&gt;0,F14*Feeds!D11,"")</f>
        <v/>
      </c>
      <c r="I14" s="36" t="str">
        <f>IF(SUM('Proposed Rations'!C12:L12)&gt;0,IF(Feeds!K11=TRUE,H14,""),"")</f>
        <v/>
      </c>
      <c r="J14" s="36" t="str">
        <f>IF(SUM('Proposed Rations'!C12:L12)&gt;0,IF(Feeds!K11=FALSE,H14,""),"")</f>
        <v/>
      </c>
      <c r="K14" s="36" t="str">
        <f>IF(SUM('Proposed Rations'!C12:L12)&gt;0,IF(Feeds!J11=TRUE,H14,""),"")</f>
        <v/>
      </c>
      <c r="L14" s="36" t="str">
        <f>IF(SUM('Proposed Rations'!C12:L12)&gt;0,IF(Feeds!J11=TRUE,(IF(Feeds!K11=FALSE,H14,"")),""),"")</f>
        <v/>
      </c>
      <c r="M14" s="36" t="str">
        <f>IF(SUM('Proposed Rations'!C12:L12)&gt;0,IF(Feeds!J11=TRUE,(IF(Feeds!K11=TRUE,H14,"")),""),"")</f>
        <v/>
      </c>
      <c r="N14" s="36" t="str">
        <f>IF(SUM('Proposed Rations'!D12:O12)&gt;0,IF(Feeds!J11=FALSE,H14,""),"")</f>
        <v/>
      </c>
      <c r="O14" s="36" t="str">
        <f>IF(SUM('Proposed Rations'!C89:L89)&gt;0,((SUMPRODUCT('Proposed Rations'!C89:L89,'Proposed Rations'!C$27:L$27)/(SUMPRODUCT('Proposed Rations'!C89:L89,'Proposed Rations'!C$27:L$27)+SUMPRODUCT('Proposed Rations'!C114:L114,'Proposed Rations'!C$27:L$27)+SUMPRODUCT('Proposed Rations'!C139:L139,'Proposed Rations'!C$27:L$27))*H14)),"")</f>
        <v/>
      </c>
      <c r="P14" s="218" t="str">
        <f>IF(SUM('Proposed Rations'!C114:L114)&gt;0,((SUMPRODUCT('Proposed Rations'!C114:L114,'Proposed Rations'!C$27:L$27)/(SUMPRODUCT('Proposed Rations'!C89:L89,'Proposed Rations'!C$27:L$27)+SUMPRODUCT('Proposed Rations'!C114:L114,'Proposed Rations'!C$27:L$27)+SUMPRODUCT('Proposed Rations'!C139:L139,'Proposed Rations'!C$27:L$27))*H14)),"")</f>
        <v/>
      </c>
      <c r="Q14" s="36" t="str">
        <f>IF(SUM('Proposed Rations'!C139:L139)&gt;0,((SUMPRODUCT('Proposed Rations'!C139:L139,'Proposed Rations'!C$27:L$27)/(SUMPRODUCT('Proposed Rations'!C89:L89,'Proposed Rations'!C$27:L$27)+SUMPRODUCT('Proposed Rations'!C114:L114,'Proposed Rations'!C$27:L$27)+SUMPRODUCT('Proposed Rations'!C139:L139,'Proposed Rations'!C$27:L$27))*H14)),"")</f>
        <v/>
      </c>
    </row>
    <row r="15" spans="1:21" x14ac:dyDescent="0.2">
      <c r="A15" s="29" t="str">
        <f>IF(Feeds!A12&gt;0,Feeds!A12,"")</f>
        <v/>
      </c>
      <c r="B15" s="37" t="str">
        <f>IF(SUM('Proposed Rations'!C13:L13)&gt;0,(SUMPRODUCT(('Proposed Rations'!C13:L13/Feeds!E12),'Proposed Rations'!C$27:L$27,'Proposed Rations'!C$28:L$28)/Feeds!C12),"")</f>
        <v/>
      </c>
      <c r="C15" s="34" t="str">
        <f>IF(SUM('Proposed Rations'!C13:L13)&gt;0,Feeds!B12,"")</f>
        <v/>
      </c>
      <c r="D15" s="35" t="str">
        <f>IF(SUM('Proposed Rations'!C13:L13)&gt;0,(B15/(1-Feeds!F12))-'Proposed Rations Cost Summary'!B15,"")</f>
        <v/>
      </c>
      <c r="E15" s="36" t="str">
        <f>IF(SUM('Proposed Rations'!C13:L13)&gt;0,D15*Feeds!D12,"")</f>
        <v/>
      </c>
      <c r="F15" s="37" t="str">
        <f>IF(SUM('Proposed Rations'!C13:L13)&gt;0,(SUM(D15,B15)),"")</f>
        <v/>
      </c>
      <c r="G15" s="38" t="str">
        <f>IF(SUM('Proposed Rations'!C13:L13)&gt;0,Feeds!B12,"")</f>
        <v/>
      </c>
      <c r="H15" s="36" t="str">
        <f>IF(SUM('Proposed Rations'!C13:L13)&gt;0,F15*Feeds!D12,"")</f>
        <v/>
      </c>
      <c r="I15" s="36" t="str">
        <f>IF(SUM('Proposed Rations'!C13:L13)&gt;0,IF(Feeds!K12=TRUE,H15,""),"")</f>
        <v/>
      </c>
      <c r="J15" s="36" t="str">
        <f>IF(SUM('Proposed Rations'!C13:L13)&gt;0,IF(Feeds!K12=FALSE,H15,""),"")</f>
        <v/>
      </c>
      <c r="K15" s="36" t="str">
        <f>IF(SUM('Proposed Rations'!C13:L13)&gt;0,IF(Feeds!J12=TRUE,H15,""),"")</f>
        <v/>
      </c>
      <c r="L15" s="36" t="str">
        <f>IF(SUM('Proposed Rations'!C13:L13)&gt;0,IF(Feeds!J12=TRUE,(IF(Feeds!K12=FALSE,H15,"")),""),"")</f>
        <v/>
      </c>
      <c r="M15" s="36" t="str">
        <f>IF(SUM('Proposed Rations'!C13:L13)&gt;0,IF(Feeds!J12=TRUE,(IF(Feeds!K12=TRUE,H15,"")),""),"")</f>
        <v/>
      </c>
      <c r="N15" s="36" t="str">
        <f>IF(SUM('Proposed Rations'!D13:O13)&gt;0,IF(Feeds!J12=FALSE,H15,""),"")</f>
        <v/>
      </c>
      <c r="O15" s="36" t="str">
        <f>IF(SUM('Proposed Rations'!C90:L90)&gt;0,((SUMPRODUCT('Proposed Rations'!C90:L90,'Proposed Rations'!C$27:L$27)/(SUMPRODUCT('Proposed Rations'!C90:L90,'Proposed Rations'!C$27:L$27)+SUMPRODUCT('Proposed Rations'!C115:L115,'Proposed Rations'!C$27:L$27)+SUMPRODUCT('Proposed Rations'!C140:L140,'Proposed Rations'!C$27:L$27))*H15)),"")</f>
        <v/>
      </c>
      <c r="P15" s="219" t="str">
        <f>IF(SUM('Proposed Rations'!C115:L115)&gt;0,((SUMPRODUCT('Proposed Rations'!C115:L115,'Proposed Rations'!C$27:L$27)/(SUMPRODUCT('Proposed Rations'!C90:L90,'Proposed Rations'!C$27:L$27)+SUMPRODUCT('Proposed Rations'!C115:L115,'Proposed Rations'!C$27:L$27)+SUMPRODUCT('Proposed Rations'!C140:L140,'Proposed Rations'!C$27:L$27))*H15)),"")</f>
        <v/>
      </c>
      <c r="Q15" s="36" t="str">
        <f>IF(SUM('Proposed Rations'!C140:L140)&gt;0,((SUMPRODUCT('Proposed Rations'!C140:L140,'Proposed Rations'!C$27:L$27)/(SUMPRODUCT('Proposed Rations'!C90:L90,'Proposed Rations'!C$27:L$27)+SUMPRODUCT('Proposed Rations'!C115:L115,'Proposed Rations'!C$27:L$27)+SUMPRODUCT('Proposed Rations'!C140:L140,'Proposed Rations'!C$27:L$27))*H15)),"")</f>
        <v/>
      </c>
    </row>
    <row r="16" spans="1:21" x14ac:dyDescent="0.2">
      <c r="A16" s="29" t="str">
        <f>IF(Feeds!A13&gt;0,Feeds!A13,"")</f>
        <v/>
      </c>
      <c r="B16" s="37" t="str">
        <f>IF(SUM('Proposed Rations'!C14:L14)&gt;0,(SUMPRODUCT(('Proposed Rations'!C14:L14/Feeds!E13),'Proposed Rations'!C$27:L$27,'Proposed Rations'!C$28:L$28)/Feeds!C13),"")</f>
        <v/>
      </c>
      <c r="C16" s="34" t="str">
        <f>IF(SUM('Proposed Rations'!C14:L14)&gt;0,Feeds!B13,"")</f>
        <v/>
      </c>
      <c r="D16" s="35" t="str">
        <f>IF(SUM('Proposed Rations'!C14:L14)&gt;0,(B16/(1-Feeds!F13))-'Proposed Rations Cost Summary'!B16,"")</f>
        <v/>
      </c>
      <c r="E16" s="36" t="str">
        <f>IF(SUM('Proposed Rations'!C14:L14)&gt;0,D16*Feeds!D13,"")</f>
        <v/>
      </c>
      <c r="F16" s="37" t="str">
        <f>IF(SUM('Proposed Rations'!C14:L14)&gt;0,(SUM(D16,B16)),"")</f>
        <v/>
      </c>
      <c r="G16" s="38" t="str">
        <f>IF(SUM('Proposed Rations'!C14:L14)&gt;0,Feeds!B13,"")</f>
        <v/>
      </c>
      <c r="H16" s="36" t="str">
        <f>IF(SUM('Proposed Rations'!C14:L14)&gt;0,F16*Feeds!D13,"")</f>
        <v/>
      </c>
      <c r="I16" s="36" t="str">
        <f>IF(SUM('Proposed Rations'!C14:L14)&gt;0,IF(Feeds!K13=TRUE,H16,""),"")</f>
        <v/>
      </c>
      <c r="J16" s="36" t="str">
        <f>IF(SUM('Proposed Rations'!C14:L14)&gt;0,IF(Feeds!K13=FALSE,H16,""),"")</f>
        <v/>
      </c>
      <c r="K16" s="36" t="str">
        <f>IF(SUM('Proposed Rations'!C14:L14)&gt;0,IF(Feeds!J13=TRUE,H16,""),"")</f>
        <v/>
      </c>
      <c r="L16" s="36" t="str">
        <f>IF(SUM('Proposed Rations'!C14:L14)&gt;0,IF(Feeds!J13=TRUE,(IF(Feeds!K13=FALSE,H16,"")),""),"")</f>
        <v/>
      </c>
      <c r="M16" s="36" t="str">
        <f>IF(SUM('Proposed Rations'!C14:L14)&gt;0,IF(Feeds!J13=TRUE,(IF(Feeds!K13=TRUE,H16,"")),""),"")</f>
        <v/>
      </c>
      <c r="N16" s="36" t="str">
        <f>IF(SUM('Proposed Rations'!D14:O14)&gt;0,IF(Feeds!J13=FALSE,H16,""),"")</f>
        <v/>
      </c>
      <c r="O16" s="219" t="str">
        <f>IF(SUM('Proposed Rations'!C91:L91)&gt;0,((SUMPRODUCT('Proposed Rations'!C91:L91,'Proposed Rations'!C$27:L$27)/(SUMPRODUCT('Proposed Rations'!C91:L91,'Proposed Rations'!C$27:L$27)+SUMPRODUCT('Proposed Rations'!C116:L116,'Proposed Rations'!C$27:L$27)+SUMPRODUCT('Proposed Rations'!C141:L141,'Proposed Rations'!C$27:L$27))*H16)),"")</f>
        <v/>
      </c>
      <c r="P16" s="36" t="str">
        <f>IF(SUM('Proposed Rations'!C116:L116)&gt;0,((SUMPRODUCT('Proposed Rations'!C116:L116,'Proposed Rations'!C$27:L$27)/(SUMPRODUCT('Proposed Rations'!C91:L91,'Proposed Rations'!C$27:L$27)+SUMPRODUCT('Proposed Rations'!C116:L116,'Proposed Rations'!C$27:L$27)+SUMPRODUCT('Proposed Rations'!C141:L141,'Proposed Rations'!C$27:L$27))*H16)),"")</f>
        <v/>
      </c>
      <c r="Q16" s="219" t="str">
        <f>IF(SUM('Proposed Rations'!C141:L141)&gt;0,((SUMPRODUCT('Proposed Rations'!C141:L141,'Proposed Rations'!C$27:L$27)/(SUMPRODUCT('Proposed Rations'!C91:L91,'Proposed Rations'!C$27:L$27)+SUMPRODUCT('Proposed Rations'!C116:L116,'Proposed Rations'!C$27:L$27)+SUMPRODUCT('Proposed Rations'!C141:L141,'Proposed Rations'!C$27:L$27))*H16)),"")</f>
        <v/>
      </c>
    </row>
    <row r="17" spans="1:22" x14ac:dyDescent="0.2">
      <c r="A17" s="29" t="str">
        <f>IF(Feeds!A14&gt;0,Feeds!A14,"")</f>
        <v/>
      </c>
      <c r="B17" s="37" t="str">
        <f>IF(SUM('Proposed Rations'!C15:L15)&gt;0,(SUMPRODUCT(('Proposed Rations'!C15:L15/Feeds!E14),'Proposed Rations'!C$27:L$27,'Proposed Rations'!C$28:L$28)/Feeds!C14),"")</f>
        <v/>
      </c>
      <c r="C17" s="34" t="str">
        <f>IF(SUM('Proposed Rations'!C15:L15)&gt;0,Feeds!B14,"")</f>
        <v/>
      </c>
      <c r="D17" s="35" t="str">
        <f>IF(SUM('Proposed Rations'!C15:L15)&gt;0,(B17/(1-Feeds!F14))-'Proposed Rations Cost Summary'!B17,"")</f>
        <v/>
      </c>
      <c r="E17" s="36" t="str">
        <f>IF(SUM('Proposed Rations'!C15:L15)&gt;0,D17*Feeds!D14,"")</f>
        <v/>
      </c>
      <c r="F17" s="37" t="str">
        <f>IF(SUM('Proposed Rations'!C15:L15)&gt;0,(SUM(D17,B17)),"")</f>
        <v/>
      </c>
      <c r="G17" s="38" t="str">
        <f>IF(SUM('Proposed Rations'!C15:L15)&gt;0,Feeds!B14,"")</f>
        <v/>
      </c>
      <c r="H17" s="36" t="str">
        <f>IF(SUM('Proposed Rations'!C15:L15)&gt;0,F17*Feeds!D14,"")</f>
        <v/>
      </c>
      <c r="I17" s="36" t="str">
        <f>IF(SUM('Proposed Rations'!C15:L15)&gt;0,IF(Feeds!K14=TRUE,H17,""),"")</f>
        <v/>
      </c>
      <c r="J17" s="36" t="str">
        <f>IF(SUM('Proposed Rations'!C15:L15)&gt;0,IF(Feeds!K14=FALSE,H17,""),"")</f>
        <v/>
      </c>
      <c r="K17" s="36" t="str">
        <f>IF(SUM('Proposed Rations'!C15:L15)&gt;0,IF(Feeds!J14=TRUE,H17,""),"")</f>
        <v/>
      </c>
      <c r="L17" s="36" t="str">
        <f>IF(SUM('Proposed Rations'!C15:L15)&gt;0,IF(Feeds!J14=TRUE,(IF(Feeds!K14=FALSE,H17,"")),""),"")</f>
        <v/>
      </c>
      <c r="M17" s="36" t="str">
        <f>IF(SUM('Proposed Rations'!C15:L15)&gt;0,IF(Feeds!J14=TRUE,(IF(Feeds!K14=TRUE,H17,"")),""),"")</f>
        <v/>
      </c>
      <c r="N17" s="36" t="str">
        <f>IF(SUM('Proposed Rations'!D15:O15)&gt;0,IF(Feeds!J14=FALSE,H17,""),"")</f>
        <v/>
      </c>
      <c r="O17" s="217" t="str">
        <f>IF(SUM('Proposed Rations'!C92:L92)&gt;0,((SUMPRODUCT('Proposed Rations'!C92:L92,'Proposed Rations'!C$27:L$27)/(SUMPRODUCT('Proposed Rations'!C92:L92,'Proposed Rations'!C$27:L$27)+SUMPRODUCT('Proposed Rations'!C117:L117,'Proposed Rations'!C$27:L$27)+SUMPRODUCT('Proposed Rations'!C142:L142,'Proposed Rations'!C$27:L$27))*H17)),"")</f>
        <v/>
      </c>
      <c r="P17" s="36" t="str">
        <f>IF(SUM('Proposed Rations'!C117:L117)&gt;0,((SUMPRODUCT('Proposed Rations'!C117:L117,'Proposed Rations'!C$27:L$27)/(SUMPRODUCT('Proposed Rations'!C92:L92,'Proposed Rations'!C$27:L$27)+SUMPRODUCT('Proposed Rations'!C117:L117,'Proposed Rations'!C$27:L$27)+SUMPRODUCT('Proposed Rations'!C142:L142,'Proposed Rations'!C$27:L$27))*H17)),"")</f>
        <v/>
      </c>
      <c r="Q17" s="217" t="str">
        <f>IF(SUM('Proposed Rations'!C142:L142)&gt;0,((SUMPRODUCT('Proposed Rations'!C142:L142,'Proposed Rations'!C$27:L$27)/(SUMPRODUCT('Proposed Rations'!C92:L92,'Proposed Rations'!C$27:L$27)+SUMPRODUCT('Proposed Rations'!C117:L117,'Proposed Rations'!C$27:L$27)+SUMPRODUCT('Proposed Rations'!C142:L142,'Proposed Rations'!C$27:L$27))*H17)),"")</f>
        <v/>
      </c>
    </row>
    <row r="18" spans="1:22" x14ac:dyDescent="0.2">
      <c r="A18" s="29" t="str">
        <f>IF(Feeds!A15&gt;0,Feeds!A15,"")</f>
        <v/>
      </c>
      <c r="B18" s="37" t="str">
        <f>IF(SUM('Proposed Rations'!C16:L16)&gt;0,(SUMPRODUCT(('Proposed Rations'!C16:L16/Feeds!E15),'Proposed Rations'!C$27:L$27,'Proposed Rations'!C$28:L$28)/Feeds!C15),"")</f>
        <v/>
      </c>
      <c r="C18" s="34" t="str">
        <f>IF(SUM('Proposed Rations'!C16:L16)&gt;0,Feeds!B15,"")</f>
        <v/>
      </c>
      <c r="D18" s="35" t="str">
        <f>IF(SUM('Proposed Rations'!C16:L16)&gt;0,(B18/(1-Feeds!F15))-'Proposed Rations Cost Summary'!B18,"")</f>
        <v/>
      </c>
      <c r="E18" s="36" t="str">
        <f>IF(SUM('Proposed Rations'!C16:L16)&gt;0,D18*Feeds!D15,"")</f>
        <v/>
      </c>
      <c r="F18" s="37" t="str">
        <f>IF(SUM('Proposed Rations'!C16:L16)&gt;0,(SUM(D18,B18)),"")</f>
        <v/>
      </c>
      <c r="G18" s="38" t="str">
        <f>IF(SUM('Proposed Rations'!C16:L16)&gt;0,Feeds!B15,"")</f>
        <v/>
      </c>
      <c r="H18" s="36" t="str">
        <f>IF(SUM('Proposed Rations'!C16:L16)&gt;0,F18*Feeds!D15,"")</f>
        <v/>
      </c>
      <c r="I18" s="36" t="str">
        <f>IF(SUM('Proposed Rations'!C16:L16)&gt;0,IF(Feeds!K15=TRUE,H18,""),"")</f>
        <v/>
      </c>
      <c r="J18" s="36" t="str">
        <f>IF(SUM('Proposed Rations'!C16:L16)&gt;0,IF(Feeds!K15=FALSE,H18,""),"")</f>
        <v/>
      </c>
      <c r="K18" s="36" t="str">
        <f>IF(SUM('Proposed Rations'!C16:L16)&gt;0,IF(Feeds!J15=TRUE,H18,""),"")</f>
        <v/>
      </c>
      <c r="L18" s="36" t="str">
        <f>IF(SUM('Proposed Rations'!C16:L16)&gt;0,IF(Feeds!J15=TRUE,(IF(Feeds!K15=FALSE,H18,"")),""),"")</f>
        <v/>
      </c>
      <c r="M18" s="36" t="str">
        <f>IF(SUM('Proposed Rations'!C16:L16)&gt;0,IF(Feeds!J15=TRUE,(IF(Feeds!K15=TRUE,H18,"")),""),"")</f>
        <v/>
      </c>
      <c r="N18" s="36" t="str">
        <f>IF(SUM('Proposed Rations'!D16:O16)&gt;0,IF(Feeds!J15=FALSE,H18,""),"")</f>
        <v/>
      </c>
      <c r="O18" s="36" t="str">
        <f>IF(SUM('Proposed Rations'!C93:L93)&gt;0,((SUMPRODUCT('Proposed Rations'!C93:L93,'Proposed Rations'!C$27:L$27)/(SUMPRODUCT('Proposed Rations'!C93:L93,'Proposed Rations'!C$27:L$27)+SUMPRODUCT('Proposed Rations'!C118:L118,'Proposed Rations'!C$27:L$27)+SUMPRODUCT('Proposed Rations'!C143:L143,'Proposed Rations'!C$27:L$27))*H18)),"")</f>
        <v/>
      </c>
      <c r="P18" s="218" t="str">
        <f>IF(SUM('Proposed Rations'!C118:L118)&gt;0,((SUMPRODUCT('Proposed Rations'!C118:L118,'Proposed Rations'!C$27:L$27)/(SUMPRODUCT('Proposed Rations'!C93:L93,'Proposed Rations'!C$27:L$27)+SUMPRODUCT('Proposed Rations'!C118:L118,'Proposed Rations'!C$27:L$27)+SUMPRODUCT('Proposed Rations'!C143:L143,'Proposed Rations'!C$27:L$27))*H18)),"")</f>
        <v/>
      </c>
      <c r="Q18" s="217" t="str">
        <f>IF(SUM('Proposed Rations'!C143:L143)&gt;0,((SUMPRODUCT('Proposed Rations'!C143:L143,'Proposed Rations'!C$27:L$27)/(SUMPRODUCT('Proposed Rations'!C93:L93,'Proposed Rations'!C$27:L$27)+SUMPRODUCT('Proposed Rations'!C118:L118,'Proposed Rations'!C$27:L$27)+SUMPRODUCT('Proposed Rations'!C143:L143,'Proposed Rations'!C$27:L$27))*H18)),"")</f>
        <v/>
      </c>
    </row>
    <row r="19" spans="1:22" x14ac:dyDescent="0.2">
      <c r="A19" s="29" t="str">
        <f>IF(Feeds!A16&gt;0,Feeds!A16,"")</f>
        <v/>
      </c>
      <c r="B19" s="37" t="str">
        <f>IF(SUM('Proposed Rations'!C17:L17)&gt;0,(SUMPRODUCT(('Proposed Rations'!C17:L17/Feeds!E16),'Proposed Rations'!C$27:L$27,'Proposed Rations'!C$28:L$28)/Feeds!C16),"")</f>
        <v/>
      </c>
      <c r="C19" s="34" t="str">
        <f>IF(SUM('Proposed Rations'!C17:L17)&gt;0,Feeds!B16,"")</f>
        <v/>
      </c>
      <c r="D19" s="35" t="str">
        <f>IF(SUM('Proposed Rations'!C17:L17)&gt;0,(B19/(1-Feeds!F16))-'Proposed Rations Cost Summary'!B19,"")</f>
        <v/>
      </c>
      <c r="E19" s="36" t="str">
        <f>IF(SUM('Proposed Rations'!C17:L17)&gt;0,D19*Feeds!D16,"")</f>
        <v/>
      </c>
      <c r="F19" s="37" t="str">
        <f>IF(SUM('Proposed Rations'!C17:L17)&gt;0,(SUM(D19,B19)),"")</f>
        <v/>
      </c>
      <c r="G19" s="38" t="str">
        <f>IF(SUM('Proposed Rations'!C17:L17)&gt;0,Feeds!B16,"")</f>
        <v/>
      </c>
      <c r="H19" s="36" t="str">
        <f>IF(SUM('Proposed Rations'!C17:L17)&gt;0,F19*Feeds!D16,"")</f>
        <v/>
      </c>
      <c r="I19" s="36" t="str">
        <f>IF(SUM('Proposed Rations'!C17:L17)&gt;0,IF(Feeds!K16=TRUE,H19,""),"")</f>
        <v/>
      </c>
      <c r="J19" s="36" t="str">
        <f>IF(SUM('Proposed Rations'!C17:L17)&gt;0,IF(Feeds!K16=FALSE,H19,""),"")</f>
        <v/>
      </c>
      <c r="K19" s="36" t="str">
        <f>IF(SUM('Proposed Rations'!C17:L17)&gt;0,IF(Feeds!J16=TRUE,H19,""),"")</f>
        <v/>
      </c>
      <c r="L19" s="36" t="str">
        <f>IF(SUM('Proposed Rations'!C17:L17)&gt;0,IF(Feeds!J16=TRUE,(IF(Feeds!K16=FALSE,H19,"")),""),"")</f>
        <v/>
      </c>
      <c r="M19" s="36" t="str">
        <f>IF(SUM('Proposed Rations'!C17:L17)&gt;0,IF(Feeds!J16=TRUE,(IF(Feeds!K16=TRUE,H19,"")),""),"")</f>
        <v/>
      </c>
      <c r="N19" s="36" t="str">
        <f>IF(SUM('Proposed Rations'!D17:O17)&gt;0,IF(Feeds!J16=FALSE,H19,""),"")</f>
        <v/>
      </c>
      <c r="O19" s="219" t="str">
        <f>IF(SUM('Proposed Rations'!C94:L94)&gt;0,((SUMPRODUCT('Proposed Rations'!C94:L94,'Proposed Rations'!C$27:L$27)/(SUMPRODUCT('Proposed Rations'!C94:L94,'Proposed Rations'!C$27:L$27)+SUMPRODUCT('Proposed Rations'!C119:L119,'Proposed Rations'!C$27:L$27)+SUMPRODUCT('Proposed Rations'!C144:L144,'Proposed Rations'!C$27:L$27))*H19)),"")</f>
        <v/>
      </c>
      <c r="P19" s="219" t="str">
        <f>IF(SUM('Proposed Rations'!C119:L119)&gt;0,((SUMPRODUCT('Proposed Rations'!C119:L119,'Proposed Rations'!C$27:L$27)/(SUMPRODUCT('Proposed Rations'!C94:L94,'Proposed Rations'!C$27:L$27)+SUMPRODUCT('Proposed Rations'!C119:L119,'Proposed Rations'!C$27:L$27)+SUMPRODUCT('Proposed Rations'!C144:L144,'Proposed Rations'!C$27:L$27))*H19)),"")</f>
        <v/>
      </c>
      <c r="Q19" s="217" t="str">
        <f>IF(SUM('Proposed Rations'!C144:L144)&gt;0,((SUMPRODUCT('Proposed Rations'!C144:L144,'Proposed Rations'!C$27:L$27)/(SUMPRODUCT('Proposed Rations'!C94:L94,'Proposed Rations'!C$27:L$27)+SUMPRODUCT('Proposed Rations'!C119:L119,'Proposed Rations'!C$27:L$27)+SUMPRODUCT('Proposed Rations'!C144:L144,'Proposed Rations'!C$27:L$27))*H19)),"")</f>
        <v/>
      </c>
    </row>
    <row r="20" spans="1:22" x14ac:dyDescent="0.2">
      <c r="A20" s="29" t="str">
        <f>IF(Feeds!A17&gt;0,Feeds!A17,"")</f>
        <v/>
      </c>
      <c r="B20" s="37" t="str">
        <f>IF(SUM('Proposed Rations'!C18:L18)&gt;0,(SUMPRODUCT(('Proposed Rations'!C18:L18/Feeds!E17),'Proposed Rations'!C$27:L$27,'Proposed Rations'!C$28:L$28)/Feeds!C17),"")</f>
        <v/>
      </c>
      <c r="C20" s="34" t="str">
        <f>IF(SUM('Proposed Rations'!C18:L18)&gt;0,Feeds!B17,"")</f>
        <v/>
      </c>
      <c r="D20" s="35" t="str">
        <f>IF(SUM('Proposed Rations'!C18:L18)&gt;0,(B20/(1-Feeds!F17))-'Proposed Rations Cost Summary'!B20,"")</f>
        <v/>
      </c>
      <c r="E20" s="36" t="str">
        <f>IF(SUM('Proposed Rations'!C18:L18)&gt;0,D20*Feeds!D17,"")</f>
        <v/>
      </c>
      <c r="F20" s="37" t="str">
        <f>IF(SUM('Proposed Rations'!C18:L18)&gt;0,(SUM(D20,B20)),"")</f>
        <v/>
      </c>
      <c r="G20" s="38" t="str">
        <f>IF(SUM('Proposed Rations'!C18:L18)&gt;0,Feeds!B17,"")</f>
        <v/>
      </c>
      <c r="H20" s="36" t="str">
        <f>IF(SUM('Proposed Rations'!C18:L18)&gt;0,F20*Feeds!D17,"")</f>
        <v/>
      </c>
      <c r="I20" s="36" t="str">
        <f>IF(SUM('Proposed Rations'!C18:L18)&gt;0,IF(Feeds!K17=TRUE,H20,""),"")</f>
        <v/>
      </c>
      <c r="J20" s="36" t="str">
        <f>IF(SUM('Proposed Rations'!C18:L18)&gt;0,IF(Feeds!K17=FALSE,H20,""),"")</f>
        <v/>
      </c>
      <c r="K20" s="36" t="str">
        <f>IF(SUM('Proposed Rations'!C18:L18)&gt;0,IF(Feeds!J17=TRUE,H20,""),"")</f>
        <v/>
      </c>
      <c r="L20" s="36" t="str">
        <f>IF(SUM('Proposed Rations'!C18:L18)&gt;0,IF(Feeds!J17=TRUE,(IF(Feeds!K17=FALSE,H20,"")),""),"")</f>
        <v/>
      </c>
      <c r="M20" s="36" t="str">
        <f>IF(SUM('Proposed Rations'!C18:L18)&gt;0,IF(Feeds!J17=TRUE,(IF(Feeds!K17=TRUE,H20,"")),""),"")</f>
        <v/>
      </c>
      <c r="N20" s="36" t="str">
        <f>IF(SUM('Proposed Rations'!D18:O18)&gt;0,IF(Feeds!J17=FALSE,H20,""),"")</f>
        <v/>
      </c>
      <c r="O20" s="217" t="str">
        <f>IF(SUM('Proposed Rations'!C95:L95)&gt;0,((SUMPRODUCT('Proposed Rations'!C95:L95,'Proposed Rations'!C$27:L$27)/(SUMPRODUCT('Proposed Rations'!C95:L95,'Proposed Rations'!C$27:L$27)+SUMPRODUCT('Proposed Rations'!C120:L120,'Proposed Rations'!C$27:L$27)+SUMPRODUCT('Proposed Rations'!C145:L145,'Proposed Rations'!C$27:L$27))*H20)),"")</f>
        <v/>
      </c>
      <c r="P20" s="36" t="str">
        <f>IF(SUM('Proposed Rations'!C120:L120)&gt;0,((SUMPRODUCT('Proposed Rations'!C120:L120,'Proposed Rations'!C$27:L$27)/(SUMPRODUCT('Proposed Rations'!C95:L95,'Proposed Rations'!C$27:L$27)+SUMPRODUCT('Proposed Rations'!C120:L120,'Proposed Rations'!C$27:L$27)+SUMPRODUCT('Proposed Rations'!C145:L145,'Proposed Rations'!C$27:L$27))*H20)),"")</f>
        <v/>
      </c>
      <c r="Q20" s="36" t="str">
        <f>IF(SUM('Proposed Rations'!C145:L145)&gt;0,((SUMPRODUCT('Proposed Rations'!C145:L145,'Proposed Rations'!C$27:L$27)/(SUMPRODUCT('Proposed Rations'!C95:L95,'Proposed Rations'!C$27:L$27)+SUMPRODUCT('Proposed Rations'!C120:L120,'Proposed Rations'!C$27:L$27)+SUMPRODUCT('Proposed Rations'!C145:L145,'Proposed Rations'!C$27:L$27))*H20)),"")</f>
        <v/>
      </c>
    </row>
    <row r="21" spans="1:22" x14ac:dyDescent="0.2">
      <c r="A21" s="29" t="str">
        <f>IF(Feeds!A18&gt;0,Feeds!A18,"")</f>
        <v/>
      </c>
      <c r="B21" s="37" t="str">
        <f>IF(SUM('Proposed Rations'!C19:L19)&gt;0,(SUMPRODUCT(('Proposed Rations'!C19:L19/Feeds!E18),'Proposed Rations'!C$27:L$27,'Proposed Rations'!C$28:L$28)/Feeds!C18),"")</f>
        <v/>
      </c>
      <c r="C21" s="34" t="str">
        <f>IF(SUM('Proposed Rations'!C19:L19)&gt;0,Feeds!B18,"")</f>
        <v/>
      </c>
      <c r="D21" s="35" t="str">
        <f>IF(SUM('Proposed Rations'!C19:L19)&gt;0,(B21/(1-Feeds!F18))-'Proposed Rations Cost Summary'!B21,"")</f>
        <v/>
      </c>
      <c r="E21" s="36" t="str">
        <f>IF(SUM('Proposed Rations'!C19:L19)&gt;0,D21*Feeds!D18,"")</f>
        <v/>
      </c>
      <c r="F21" s="37" t="str">
        <f>IF(SUM('Proposed Rations'!C19:L19)&gt;0,(SUM(D21,B21)),"")</f>
        <v/>
      </c>
      <c r="G21" s="38" t="str">
        <f>IF(SUM('Proposed Rations'!C19:L19)&gt;0,Feeds!B18,"")</f>
        <v/>
      </c>
      <c r="H21" s="36" t="str">
        <f>IF(SUM('Proposed Rations'!C19:L19)&gt;0,F21*Feeds!D18,"")</f>
        <v/>
      </c>
      <c r="I21" s="36" t="str">
        <f>IF(SUM('Proposed Rations'!C19:L19)&gt;0,IF(Feeds!K18=TRUE,H21,""),"")</f>
        <v/>
      </c>
      <c r="J21" s="36" t="str">
        <f>IF(SUM('Proposed Rations'!C19:L19)&gt;0,IF(Feeds!K18=FALSE,H21,""),"")</f>
        <v/>
      </c>
      <c r="K21" s="36" t="str">
        <f>IF(SUM('Proposed Rations'!C19:L19)&gt;0,IF(Feeds!J18=TRUE,H21,""),"")</f>
        <v/>
      </c>
      <c r="L21" s="36" t="str">
        <f>IF(SUM('Proposed Rations'!C19:L19)&gt;0,IF(Feeds!J18=TRUE,(IF(Feeds!K18=FALSE,H21,"")),""),"")</f>
        <v/>
      </c>
      <c r="M21" s="36" t="str">
        <f>IF(SUM('Proposed Rations'!C19:L19)&gt;0,IF(Feeds!J18=TRUE,(IF(Feeds!K18=TRUE,H21,"")),""),"")</f>
        <v/>
      </c>
      <c r="N21" s="36" t="str">
        <f>IF(SUM('Proposed Rations'!D19:O19)&gt;0,IF(Feeds!J18=FALSE,H21,""),"")</f>
        <v/>
      </c>
      <c r="O21" s="217" t="str">
        <f>IF(SUM('Proposed Rations'!C96:L96)&gt;0,((SUMPRODUCT('Proposed Rations'!C96:L96,'Proposed Rations'!C$27:L$27)/(SUMPRODUCT('Proposed Rations'!C96:L96,'Proposed Rations'!C$27:L$27)+SUMPRODUCT('Proposed Rations'!C121:L121,'Proposed Rations'!C$27:L$27)+SUMPRODUCT('Proposed Rations'!C146:L146,'Proposed Rations'!C$27:L$27))*H21)),"")</f>
        <v/>
      </c>
      <c r="P21" s="219" t="str">
        <f>IF(SUM('Proposed Rations'!C121:L121)&gt;0,((SUMPRODUCT('Proposed Rations'!C121:L121,'Proposed Rations'!C$27:L$27)/(SUMPRODUCT('Proposed Rations'!C96:L96,'Proposed Rations'!C$27:L$27)+SUMPRODUCT('Proposed Rations'!C121:L121,'Proposed Rations'!C$27:L$27)+SUMPRODUCT('Proposed Rations'!C146:L146,'Proposed Rations'!C$27:L$27))*H21)),"")</f>
        <v/>
      </c>
      <c r="Q21" s="36" t="str">
        <f>IF(SUM('Proposed Rations'!C146:L146)&gt;0,((SUMPRODUCT('Proposed Rations'!C146:L146,'Proposed Rations'!C$27:L$27)/(SUMPRODUCT('Proposed Rations'!C96:L96,'Proposed Rations'!C$27:L$27)+SUMPRODUCT('Proposed Rations'!C121:L121,'Proposed Rations'!C$27:L$27)+SUMPRODUCT('Proposed Rations'!C146:L146,'Proposed Rations'!C$27:L$27))*H21)),"")</f>
        <v/>
      </c>
    </row>
    <row r="22" spans="1:22" x14ac:dyDescent="0.2">
      <c r="A22" s="29" t="str">
        <f>IF(Feeds!A19&gt;0,Feeds!A19,"")</f>
        <v/>
      </c>
      <c r="B22" s="37" t="str">
        <f>IF(SUM('Proposed Rations'!C20:L20)&gt;0,(SUMPRODUCT(('Proposed Rations'!C20:L20/Feeds!E19),'Proposed Rations'!C$27:L$27,'Proposed Rations'!C$28:L$28)/Feeds!C19),"")</f>
        <v/>
      </c>
      <c r="C22" s="34" t="str">
        <f>IF(SUM('Proposed Rations'!C20:L20)&gt;0,Feeds!B19,"")</f>
        <v/>
      </c>
      <c r="D22" s="35" t="str">
        <f>IF(SUM('Proposed Rations'!C20:L20)&gt;0,(B22/(1-Feeds!F19))-'Proposed Rations Cost Summary'!B22,"")</f>
        <v/>
      </c>
      <c r="E22" s="36" t="str">
        <f>IF(SUM('Proposed Rations'!C20:L20)&gt;0,D22*Feeds!D19,"")</f>
        <v/>
      </c>
      <c r="F22" s="37" t="str">
        <f>IF(SUM('Proposed Rations'!C20:L20)&gt;0,(SUM(D22,B22)),"")</f>
        <v/>
      </c>
      <c r="G22" s="38" t="str">
        <f>IF(SUM('Proposed Rations'!C20:L20)&gt;0,Feeds!B19,"")</f>
        <v/>
      </c>
      <c r="H22" s="36" t="str">
        <f>IF(SUM('Proposed Rations'!C20:L20)&gt;0,F22*Feeds!D19,"")</f>
        <v/>
      </c>
      <c r="I22" s="36" t="str">
        <f>IF(SUM('Proposed Rations'!C20:L20)&gt;0,IF(Feeds!K19=TRUE,H22,""),"")</f>
        <v/>
      </c>
      <c r="J22" s="36" t="str">
        <f>IF(SUM('Proposed Rations'!C20:L20)&gt;0,IF(Feeds!K19=FALSE,H22,""),"")</f>
        <v/>
      </c>
      <c r="K22" s="36" t="str">
        <f>IF(SUM('Proposed Rations'!C20:L20)&gt;0,IF(Feeds!J19=TRUE,H22,""),"")</f>
        <v/>
      </c>
      <c r="L22" s="36" t="str">
        <f>IF(SUM('Proposed Rations'!C20:L20)&gt;0,IF(Feeds!J19=TRUE,(IF(Feeds!K19=FALSE,H22,"")),""),"")</f>
        <v/>
      </c>
      <c r="M22" s="36" t="str">
        <f>IF(SUM('Proposed Rations'!C20:L20)&gt;0,IF(Feeds!J19=TRUE,(IF(Feeds!K19=TRUE,H22,"")),""),"")</f>
        <v/>
      </c>
      <c r="N22" s="36" t="str">
        <f>IF(SUM('Proposed Rations'!D20:O20)&gt;0,IF(Feeds!J19=FALSE,H22,""),"")</f>
        <v/>
      </c>
      <c r="O22" s="36" t="str">
        <f>IF(SUM('Proposed Rations'!C97:L97)&gt;0,((SUMPRODUCT('Proposed Rations'!C97:L97,'Proposed Rations'!C$27:L$27)/(SUMPRODUCT('Proposed Rations'!C97:L97,'Proposed Rations'!C$27:L$27)+SUMPRODUCT('Proposed Rations'!C122:L122,'Proposed Rations'!C$27:L$27)+SUMPRODUCT('Proposed Rations'!C147:L147,'Proposed Rations'!C$27:L$27))*H22)),"")</f>
        <v/>
      </c>
      <c r="P22" s="36" t="str">
        <f>IF(SUM('Proposed Rations'!C122:L122)&gt;0,((SUMPRODUCT('Proposed Rations'!C122:L122,'Proposed Rations'!C$27:L$27)/(SUMPRODUCT('Proposed Rations'!C97:L97,'Proposed Rations'!C$27:L$27)+SUMPRODUCT('Proposed Rations'!C122:L122,'Proposed Rations'!C$27:L$27)+SUMPRODUCT('Proposed Rations'!C147:L147,'Proposed Rations'!C$27:L$27))*H22)),"")</f>
        <v/>
      </c>
      <c r="Q22" s="219" t="str">
        <f>IF(SUM('Proposed Rations'!C147:L147)&gt;0,((SUMPRODUCT('Proposed Rations'!C147:L147,'Proposed Rations'!C$27:L$27)/(SUMPRODUCT('Proposed Rations'!C97:L97,'Proposed Rations'!C$27:L$27)+SUMPRODUCT('Proposed Rations'!C122:L122,'Proposed Rations'!C$27:L$27)+SUMPRODUCT('Proposed Rations'!C147:L147,'Proposed Rations'!C$27:L$27))*H22)),"")</f>
        <v/>
      </c>
    </row>
    <row r="23" spans="1:22" x14ac:dyDescent="0.2">
      <c r="A23" s="29" t="str">
        <f>IF(Feeds!A20&gt;0,Feeds!A20,"")</f>
        <v/>
      </c>
      <c r="B23" s="37" t="str">
        <f>IF(SUM('Proposed Rations'!C21:L21)&gt;0,(SUMPRODUCT(('Proposed Rations'!C21:L21/Feeds!E20),'Proposed Rations'!C$27:L$27,'Proposed Rations'!C$28:L$28)/Feeds!C20),"")</f>
        <v/>
      </c>
      <c r="C23" s="34" t="str">
        <f>IF(SUM('Proposed Rations'!C21:L21)&gt;0,Feeds!B20,"")</f>
        <v/>
      </c>
      <c r="D23" s="35" t="str">
        <f>IF(SUM('Proposed Rations'!C21:L21)&gt;0,(B23/(1-Feeds!F20))-'Proposed Rations Cost Summary'!B23,"")</f>
        <v/>
      </c>
      <c r="E23" s="36" t="str">
        <f>IF(SUM('Proposed Rations'!C21:L21)&gt;0,D23*Feeds!D20,"")</f>
        <v/>
      </c>
      <c r="F23" s="37" t="str">
        <f>IF(SUM('Proposed Rations'!C21:L21)&gt;0,(SUM(D23,B23)),"")</f>
        <v/>
      </c>
      <c r="G23" s="38" t="str">
        <f>IF(SUM('Proposed Rations'!C21:L21)&gt;0,Feeds!B20,"")</f>
        <v/>
      </c>
      <c r="H23" s="36" t="str">
        <f>IF(SUM('Proposed Rations'!C21:L21)&gt;0,F23*Feeds!D20,"")</f>
        <v/>
      </c>
      <c r="I23" s="36" t="str">
        <f>IF(SUM('Proposed Rations'!C21:L21)&gt;0,IF(Feeds!K20=TRUE,H23,""),"")</f>
        <v/>
      </c>
      <c r="J23" s="36" t="str">
        <f>IF(SUM('Proposed Rations'!C21:L21)&gt;0,IF(Feeds!K20=FALSE,H23,""),"")</f>
        <v/>
      </c>
      <c r="K23" s="36" t="str">
        <f>IF(SUM('Proposed Rations'!C21:L21)&gt;0,IF(Feeds!J20=TRUE,H23,""),"")</f>
        <v/>
      </c>
      <c r="L23" s="36" t="str">
        <f>IF(SUM('Proposed Rations'!C21:L21)&gt;0,IF(Feeds!J20=TRUE,(IF(Feeds!K20=FALSE,H23,"")),""),"")</f>
        <v/>
      </c>
      <c r="M23" s="36" t="str">
        <f>IF(SUM('Proposed Rations'!C21:L21)&gt;0,IF(Feeds!J20=TRUE,(IF(Feeds!K20=TRUE,H23,"")),""),"")</f>
        <v/>
      </c>
      <c r="N23" s="36" t="str">
        <f>IF(SUM('Proposed Rations'!D21:O21)&gt;0,IF(Feeds!J20=FALSE,H23,""),"")</f>
        <v/>
      </c>
      <c r="O23" s="36" t="str">
        <f>IF(SUM('Proposed Rations'!C98:L98)&gt;0,((SUMPRODUCT('Proposed Rations'!C98:L98,'Proposed Rations'!C$27:L$27)/(SUMPRODUCT('Proposed Rations'!C98:L98,'Proposed Rations'!C$27:L$27)+SUMPRODUCT('Proposed Rations'!C123:L123,'Proposed Rations'!C$27:L$27)+SUMPRODUCT('Proposed Rations'!C148:L148,'Proposed Rations'!C$27:L$27))*H23)),"")</f>
        <v/>
      </c>
      <c r="P23" s="219" t="str">
        <f>IF(SUM('Proposed Rations'!C123:L123)&gt;0,((SUMPRODUCT('Proposed Rations'!C123:L123,'Proposed Rations'!C$27:L$27)/(SUMPRODUCT('Proposed Rations'!C98:L98,'Proposed Rations'!C$27:L$27)+SUMPRODUCT('Proposed Rations'!C123:L123,'Proposed Rations'!C$27:L$27)+SUMPRODUCT('Proposed Rations'!C148:L148,'Proposed Rations'!C$27:L$27))*H23)),"")</f>
        <v/>
      </c>
      <c r="Q23" s="217" t="str">
        <f>IF(SUM('Proposed Rations'!C148:L148)&gt;0,((SUMPRODUCT('Proposed Rations'!C148:L148,'Proposed Rations'!C$27:L$27)/(SUMPRODUCT('Proposed Rations'!C98:L98,'Proposed Rations'!C$27:L$27)+SUMPRODUCT('Proposed Rations'!C123:L123,'Proposed Rations'!C$27:L$27)+SUMPRODUCT('Proposed Rations'!C148:L148,'Proposed Rations'!C$27:L$27))*H23)),"")</f>
        <v/>
      </c>
    </row>
    <row r="24" spans="1:22" x14ac:dyDescent="0.2">
      <c r="A24" s="29" t="str">
        <f>IF(Feeds!A21&gt;0,Feeds!A21,"")</f>
        <v/>
      </c>
      <c r="B24" s="37" t="str">
        <f>IF(SUM('Proposed Rations'!C22:L22)&gt;0,(SUMPRODUCT(('Proposed Rations'!C22:L22/Feeds!E21),'Proposed Rations'!C$27:L$27,'Proposed Rations'!C$28:L$28)/Feeds!C21),"")</f>
        <v/>
      </c>
      <c r="C24" s="34" t="str">
        <f>IF(SUM('Proposed Rations'!C22:L22)&gt;0,Feeds!B21,"")</f>
        <v/>
      </c>
      <c r="D24" s="35" t="str">
        <f>IF(SUM('Proposed Rations'!C22:L22)&gt;0,(B24/(1-Feeds!F21))-'Proposed Rations Cost Summary'!B24,"")</f>
        <v/>
      </c>
      <c r="E24" s="36" t="str">
        <f>IF(SUM('Proposed Rations'!C22:L22)&gt;0,D24*Feeds!D21,"")</f>
        <v/>
      </c>
      <c r="F24" s="37" t="str">
        <f>IF(SUM('Proposed Rations'!C22:L22)&gt;0,(SUM(D24,B24)),"")</f>
        <v/>
      </c>
      <c r="G24" s="38" t="str">
        <f>IF(SUM('Proposed Rations'!C22:L22)&gt;0,Feeds!B21,"")</f>
        <v/>
      </c>
      <c r="H24" s="36" t="str">
        <f>IF(SUM('Proposed Rations'!C22:L22)&gt;0,F24*Feeds!D21,"")</f>
        <v/>
      </c>
      <c r="I24" s="36" t="str">
        <f>IF(SUM('Proposed Rations'!C22:L22)&gt;0,IF(Feeds!K21=TRUE,H24,""),"")</f>
        <v/>
      </c>
      <c r="J24" s="36" t="str">
        <f>IF(SUM('Proposed Rations'!C22:L22)&gt;0,IF(Feeds!K21=FALSE,H24,""),"")</f>
        <v/>
      </c>
      <c r="K24" s="36" t="str">
        <f>IF(SUM('Proposed Rations'!C22:L22)&gt;0,IF(Feeds!J21=TRUE,H24,""),"")</f>
        <v/>
      </c>
      <c r="L24" s="36" t="str">
        <f>IF(SUM('Proposed Rations'!C22:L22)&gt;0,IF(Feeds!J21=TRUE,(IF(Feeds!K21=FALSE,H24,"")),""),"")</f>
        <v/>
      </c>
      <c r="M24" s="36" t="str">
        <f>IF(SUM('Proposed Rations'!C22:L22)&gt;0,IF(Feeds!J21=TRUE,(IF(Feeds!K21=TRUE,H24,"")),""),"")</f>
        <v/>
      </c>
      <c r="N24" s="36" t="str">
        <f>IF(SUM('Proposed Rations'!D22:O22)&gt;0,IF(Feeds!J21=FALSE,H24,""),"")</f>
        <v/>
      </c>
      <c r="O24" s="219" t="str">
        <f>IF(SUM('Proposed Rations'!C99:L99)&gt;0,((SUMPRODUCT('Proposed Rations'!C99:L99,'Proposed Rations'!C$27:L$27)/(SUMPRODUCT('Proposed Rations'!C99:L99,'Proposed Rations'!C$27:L$27)+SUMPRODUCT('Proposed Rations'!C124:L124,'Proposed Rations'!C$27:L$27)+SUMPRODUCT('Proposed Rations'!C149:L149,'Proposed Rations'!C$27:L$27))*H24)),"")</f>
        <v/>
      </c>
      <c r="P24" s="36" t="str">
        <f>IF(SUM('Proposed Rations'!C124:L124)&gt;0,((SUMPRODUCT('Proposed Rations'!C124:L124,'Proposed Rations'!C$27:L$27)/(SUMPRODUCT('Proposed Rations'!C99:L99,'Proposed Rations'!C$27:L$27)+SUMPRODUCT('Proposed Rations'!C124:L124,'Proposed Rations'!C$27:L$27)+SUMPRODUCT('Proposed Rations'!C149:L149,'Proposed Rations'!C$27:L$27))*H24)),"")</f>
        <v/>
      </c>
      <c r="Q24" s="36" t="str">
        <f>IF(SUM('Proposed Rations'!C149:L149)&gt;0,((SUMPRODUCT('Proposed Rations'!C149:L149,'Proposed Rations'!C$27:L$27)/(SUMPRODUCT('Proposed Rations'!C99:L99,'Proposed Rations'!C$27:L$27)+SUMPRODUCT('Proposed Rations'!C124:L124,'Proposed Rations'!C$27:L$27)+SUMPRODUCT('Proposed Rations'!C149:L149,'Proposed Rations'!C$27:L$27))*H24)),"")</f>
        <v/>
      </c>
    </row>
    <row r="25" spans="1:22" ht="13.5" thickBot="1" x14ac:dyDescent="0.25">
      <c r="A25" s="29" t="str">
        <f>IF(Feeds!A22&gt;0,Feeds!A22,"")</f>
        <v/>
      </c>
      <c r="B25" s="42" t="str">
        <f>IF(SUM('Proposed Rations'!C23:L23)&gt;0,(SUMPRODUCT(('Proposed Rations'!C23:L23/Feeds!E22),'Proposed Rations'!C$27:L$27,'Proposed Rations'!C$28:L$28)/Feeds!C22),"")</f>
        <v/>
      </c>
      <c r="C25" s="39" t="str">
        <f>IF(SUM('Proposed Rations'!C23:L23)&gt;0,Feeds!B22,"")</f>
        <v/>
      </c>
      <c r="D25" s="40" t="str">
        <f>IF(SUM('Proposed Rations'!C23:L23)&gt;0,(B25/(1-Feeds!F22))-'Proposed Rations Cost Summary'!B25,"")</f>
        <v/>
      </c>
      <c r="E25" s="41" t="str">
        <f>IF(SUM('Proposed Rations'!C23:L23)&gt;0,D25*Feeds!D22,"")</f>
        <v/>
      </c>
      <c r="F25" s="42" t="str">
        <f>IF(SUM('Proposed Rations'!C23:L23)&gt;0,(SUM(D25,B25)),"")</f>
        <v/>
      </c>
      <c r="G25" s="39" t="str">
        <f>IF(SUM('Proposed Rations'!C23:L23)&gt;0,Feeds!B22,"")</f>
        <v/>
      </c>
      <c r="H25" s="41" t="str">
        <f>IF(SUM('Proposed Rations'!C23:L23)&gt;0,F25*Feeds!D22,"")</f>
        <v/>
      </c>
      <c r="I25" s="41" t="str">
        <f>IF(SUM('Proposed Rations'!C23:L23)&gt;0,IF(Feeds!K22=TRUE,H25,""),"")</f>
        <v/>
      </c>
      <c r="J25" s="41" t="str">
        <f>IF(SUM('Proposed Rations'!C23:L23)&gt;0,IF(Feeds!K22=FALSE,H25,""),"")</f>
        <v/>
      </c>
      <c r="K25" s="41" t="str">
        <f>IF(SUM('Proposed Rations'!C23:L23)&gt;0,IF(Feeds!J22=TRUE,H25,""),"")</f>
        <v/>
      </c>
      <c r="L25" s="41" t="str">
        <f>IF(SUM('Proposed Rations'!C23:L23)&gt;0,IF(Feeds!J22=TRUE,(IF(Feeds!K22=FALSE,H25,"")),""),"")</f>
        <v/>
      </c>
      <c r="M25" s="41" t="str">
        <f>IF(SUM('Proposed Rations'!C23:L23)&gt;0,IF(Feeds!J22=TRUE,(IF(Feeds!K22=TRUE,H25,"")),""),"")</f>
        <v/>
      </c>
      <c r="N25" s="41" t="str">
        <f>IF(SUM('Proposed Rations'!D23:O23)&gt;0,IF(Feeds!J22=FALSE,H25,""),"")</f>
        <v/>
      </c>
      <c r="O25" s="41" t="str">
        <f>IF(SUM('Proposed Rations'!C100:L100)&gt;0,((SUMPRODUCT('Proposed Rations'!C100:L100,'Proposed Rations'!C$27:L$27)/(SUMPRODUCT('Proposed Rations'!C100:L100,'Proposed Rations'!C$27:L$27)+SUMPRODUCT('Proposed Rations'!C125:L125,'Proposed Rations'!C$27:L$27)+SUMPRODUCT('Proposed Rations'!C150:L150,'Proposed Rations'!C$27:L$27))*H25)),"")</f>
        <v/>
      </c>
      <c r="P25" s="218" t="str">
        <f>IF(SUM('Proposed Rations'!C125:L125)&gt;0,((SUMPRODUCT('Proposed Rations'!C125:L125,'Proposed Rations'!C$27:L$27)/(SUMPRODUCT('Proposed Rations'!C100:L100,'Proposed Rations'!C$27:L$27)+SUMPRODUCT('Proposed Rations'!C125:L125,'Proposed Rations'!C$27:L$27)+SUMPRODUCT('Proposed Rations'!C150:L150,'Proposed Rations'!C$27:L$27))*H25)),"")</f>
        <v/>
      </c>
      <c r="Q25" s="218" t="str">
        <f>IF(SUM('Proposed Rations'!C150:L150)&gt;0,((SUMPRODUCT('Proposed Rations'!C150:L150,'Proposed Rations'!C$27:L$27)/(SUMPRODUCT('Proposed Rations'!C100:L100,'Proposed Rations'!C$27:L$27)+SUMPRODUCT('Proposed Rations'!C125:L125,'Proposed Rations'!C$27:L$27)+SUMPRODUCT('Proposed Rations'!C150:L150,'Proposed Rations'!C$27:L$27))*H25)),"")</f>
        <v/>
      </c>
    </row>
    <row r="26" spans="1:22" x14ac:dyDescent="0.2">
      <c r="A26" s="29" t="s">
        <v>21</v>
      </c>
      <c r="B26" s="314">
        <f>'Proposed Rations'!P46</f>
        <v>0</v>
      </c>
      <c r="C26" s="314"/>
      <c r="D26" s="43"/>
      <c r="E26" s="44"/>
      <c r="F26" s="44"/>
      <c r="G26" s="29" t="s">
        <v>15</v>
      </c>
      <c r="H26" s="119">
        <f t="shared" ref="H26:N26" si="0">SUM(H6:H25)</f>
        <v>0</v>
      </c>
      <c r="I26" s="119">
        <f t="shared" si="0"/>
        <v>0</v>
      </c>
      <c r="J26" s="119">
        <f t="shared" si="0"/>
        <v>0</v>
      </c>
      <c r="K26" s="119">
        <f t="shared" si="0"/>
        <v>0</v>
      </c>
      <c r="L26" s="119">
        <f t="shared" si="0"/>
        <v>0</v>
      </c>
      <c r="M26" s="119">
        <f t="shared" si="0"/>
        <v>0</v>
      </c>
      <c r="N26" s="119">
        <f t="shared" si="0"/>
        <v>0</v>
      </c>
      <c r="O26" s="119">
        <f>SUM(O6:O25)</f>
        <v>0</v>
      </c>
      <c r="P26" s="119">
        <f>SUM(P6:P25)</f>
        <v>0</v>
      </c>
      <c r="Q26" s="119">
        <f>SUM(Q6:Q25)</f>
        <v>0</v>
      </c>
    </row>
    <row r="27" spans="1:22" x14ac:dyDescent="0.2">
      <c r="A27" s="29" t="s">
        <v>22</v>
      </c>
      <c r="B27" s="315">
        <f>'Proposed Rations'!M57</f>
        <v>0</v>
      </c>
      <c r="C27" s="315"/>
      <c r="D27" s="45"/>
      <c r="E27" s="44"/>
      <c r="F27" s="44"/>
      <c r="G27" s="29" t="s">
        <v>16</v>
      </c>
      <c r="H27" s="120">
        <f t="shared" ref="H27:N27" si="1">H26/12</f>
        <v>0</v>
      </c>
      <c r="I27" s="120">
        <f t="shared" si="1"/>
        <v>0</v>
      </c>
      <c r="J27" s="120">
        <f t="shared" si="1"/>
        <v>0</v>
      </c>
      <c r="K27" s="120">
        <f t="shared" si="1"/>
        <v>0</v>
      </c>
      <c r="L27" s="120">
        <f t="shared" si="1"/>
        <v>0</v>
      </c>
      <c r="M27" s="120">
        <f t="shared" si="1"/>
        <v>0</v>
      </c>
      <c r="N27" s="120">
        <f t="shared" si="1"/>
        <v>0</v>
      </c>
      <c r="O27" s="120">
        <f>O26/12</f>
        <v>0</v>
      </c>
      <c r="P27" s="120">
        <f>P26/12</f>
        <v>0</v>
      </c>
      <c r="Q27" s="120">
        <f>Q26/12</f>
        <v>0</v>
      </c>
    </row>
    <row r="28" spans="1:22" x14ac:dyDescent="0.2">
      <c r="D28" s="45"/>
      <c r="E28" s="44"/>
      <c r="F28" s="44"/>
      <c r="G28" s="29" t="s">
        <v>14</v>
      </c>
      <c r="H28" s="121" t="str">
        <f>IF(H26&gt;0,(H26/(SUMPRODUCT('Proposed Rations'!$C27:$L27,'Proposed Rations'!$C29:$L29)*365))*100,"")</f>
        <v/>
      </c>
      <c r="I28" s="121" t="str">
        <f>IF(I26&gt;0,(I26/(SUMPRODUCT('Proposed Rations'!$C27:$L27,'Proposed Rations'!$C29:$L29)*365))*100,"")</f>
        <v/>
      </c>
      <c r="J28" s="121" t="str">
        <f>IF(J26&gt;0,(J26/(SUMPRODUCT('Proposed Rations'!$C27:$L27,'Proposed Rations'!$C29:$L29)*365))*100,"")</f>
        <v/>
      </c>
      <c r="K28" s="121" t="str">
        <f>IF(K26&gt;0,(K26/(SUMPRODUCT('Proposed Rations'!$C27:$L27,'Proposed Rations'!$C29:$L29)*365))*100,"")</f>
        <v/>
      </c>
      <c r="L28" s="121" t="str">
        <f>IF(L26&gt;0,(L26/(SUMPRODUCT('Proposed Rations'!$C27:$L27,'Proposed Rations'!$C29:$L29)*365))*100,"")</f>
        <v/>
      </c>
      <c r="M28" s="121" t="str">
        <f>IF(M26&gt;0,(M26/(SUMPRODUCT('Proposed Rations'!$C27:$L27,'Proposed Rations'!$C29:$L29)*365))*100,"")</f>
        <v/>
      </c>
      <c r="N28" s="121" t="str">
        <f>IF(N26&gt;0,(N26/(SUMPRODUCT('Proposed Rations'!$C27:$L27,'Proposed Rations'!$C29:$L29)*365))*100,"")</f>
        <v/>
      </c>
      <c r="O28" s="121" t="str">
        <f>IF(O26&gt;0,(O26/(SUMPRODUCT('Proposed Rations'!$C27:$L27,'Proposed Rations'!$C29:$L29)*365))*100,"")</f>
        <v/>
      </c>
      <c r="P28" s="121" t="str">
        <f>IF(P26&gt;0,(P26/(SUMPRODUCT('Proposed Rations'!$C27:$L27,'Proposed Rations'!$C29:$L29)*365))*100,"")</f>
        <v/>
      </c>
      <c r="Q28" s="121" t="str">
        <f>IF(Q26&gt;0,(Q26/(SUMPRODUCT('Proposed Rations'!$C27:$L27,'Proposed Rations'!$C29:$L29)*365))*100,"")</f>
        <v/>
      </c>
    </row>
    <row r="29" spans="1:22" ht="13.5" thickBot="1" x14ac:dyDescent="0.25">
      <c r="E29" s="44"/>
      <c r="F29" s="46"/>
      <c r="G29" s="29" t="s">
        <v>23</v>
      </c>
      <c r="H29" s="122" t="str">
        <f>IF($B$27&gt;0,H26/$B$27,"")</f>
        <v/>
      </c>
      <c r="I29" s="122" t="str">
        <f t="shared" ref="I29:Q29" si="2">IF($B$27&gt;0,I26/$B$27,"")</f>
        <v/>
      </c>
      <c r="J29" s="122" t="str">
        <f t="shared" si="2"/>
        <v/>
      </c>
      <c r="K29" s="122" t="str">
        <f t="shared" si="2"/>
        <v/>
      </c>
      <c r="L29" s="122" t="str">
        <f t="shared" si="2"/>
        <v/>
      </c>
      <c r="M29" s="122" t="str">
        <f t="shared" si="2"/>
        <v/>
      </c>
      <c r="N29" s="122" t="str">
        <f t="shared" si="2"/>
        <v/>
      </c>
      <c r="O29" s="122" t="str">
        <f t="shared" si="2"/>
        <v/>
      </c>
      <c r="P29" s="122" t="str">
        <f t="shared" si="2"/>
        <v/>
      </c>
      <c r="Q29" s="122" t="str">
        <f t="shared" si="2"/>
        <v/>
      </c>
    </row>
    <row r="30" spans="1:22" x14ac:dyDescent="0.2">
      <c r="E30" s="1"/>
      <c r="F30" s="1"/>
      <c r="G30" s="1"/>
      <c r="H30" s="1"/>
      <c r="I30" s="1"/>
      <c r="J30" s="1"/>
      <c r="K30" s="1"/>
      <c r="L30" s="1"/>
      <c r="M30" s="1"/>
    </row>
    <row r="32" spans="1:22" x14ac:dyDescent="0.2">
      <c r="G32" s="165"/>
      <c r="U32" s="72"/>
      <c r="V32" s="167"/>
    </row>
    <row r="33" spans="7:21" x14ac:dyDescent="0.2">
      <c r="G33" s="165"/>
      <c r="U33" s="72"/>
    </row>
    <row r="34" spans="7:21" x14ac:dyDescent="0.2">
      <c r="G34" s="165"/>
      <c r="U34" s="72"/>
    </row>
    <row r="35" spans="7:21" x14ac:dyDescent="0.2">
      <c r="G35" s="165"/>
      <c r="U35" s="72"/>
    </row>
    <row r="36" spans="7:21" x14ac:dyDescent="0.2">
      <c r="G36" s="165"/>
      <c r="H36" s="166"/>
      <c r="I36" s="166"/>
      <c r="J36" s="166"/>
      <c r="K36" s="166"/>
      <c r="L36" s="166"/>
      <c r="M36" s="166"/>
      <c r="N36" s="166"/>
      <c r="O36" s="166"/>
      <c r="P36" s="166"/>
      <c r="Q36" s="166"/>
      <c r="R36" s="166"/>
      <c r="U36" s="72"/>
    </row>
    <row r="37" spans="7:21" x14ac:dyDescent="0.2">
      <c r="G37" s="165"/>
      <c r="H37" s="172"/>
      <c r="I37" s="172"/>
      <c r="J37" s="172"/>
      <c r="K37" s="172"/>
      <c r="L37" s="172"/>
      <c r="M37" s="172"/>
      <c r="N37" s="172"/>
      <c r="O37" s="172"/>
      <c r="P37" s="172"/>
      <c r="Q37" s="172"/>
      <c r="R37" s="172"/>
      <c r="U37" s="72"/>
    </row>
    <row r="38" spans="7:21" x14ac:dyDescent="0.2">
      <c r="G38" s="20"/>
      <c r="T38" s="167"/>
      <c r="U38" s="72"/>
    </row>
  </sheetData>
  <sheetProtection password="D040" sheet="1" objects="1" scenarios="1"/>
  <mergeCells count="5">
    <mergeCell ref="B5:C5"/>
    <mergeCell ref="F5:G5"/>
    <mergeCell ref="B26:C26"/>
    <mergeCell ref="B27:C27"/>
    <mergeCell ref="A3:Q3"/>
  </mergeCells>
  <pageMargins left="0.7" right="0.7" top="0.75" bottom="0.75" header="0.3" footer="0.3"/>
  <pageSetup scale="59" orientation="landscape" blackAndWhite="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3"/>
  <sheetViews>
    <sheetView zoomScale="80" zoomScaleNormal="80" workbookViewId="0"/>
  </sheetViews>
  <sheetFormatPr defaultRowHeight="12.75" x14ac:dyDescent="0.2"/>
  <cols>
    <col min="1" max="1" width="44.5703125" style="167" customWidth="1"/>
    <col min="2" max="4" width="15.7109375" style="167" customWidth="1"/>
    <col min="5" max="5" width="44.5703125" style="167" customWidth="1"/>
    <col min="6" max="8" width="15.7109375" style="167" customWidth="1"/>
    <col min="9" max="9" width="44.7109375" style="167" customWidth="1"/>
    <col min="10" max="12" width="15.7109375" style="167" customWidth="1"/>
    <col min="13" max="13" width="44.7109375" style="167" customWidth="1"/>
    <col min="14" max="16" width="15.7109375" style="167" customWidth="1"/>
    <col min="17" max="17" width="44.7109375" style="167" customWidth="1"/>
    <col min="18" max="20" width="15.7109375" style="167" customWidth="1"/>
    <col min="21" max="21" width="44.7109375" style="167" customWidth="1"/>
    <col min="22" max="24" width="15.7109375" style="167" customWidth="1"/>
    <col min="25" max="25" width="44.7109375" style="167" customWidth="1"/>
    <col min="26" max="28" width="15.7109375" style="167" customWidth="1"/>
    <col min="29" max="29" width="44.7109375" style="167" customWidth="1"/>
    <col min="30" max="32" width="15.7109375" style="167" customWidth="1"/>
    <col min="33" max="33" width="44.7109375" style="167" customWidth="1"/>
    <col min="34" max="36" width="15.7109375" style="167" customWidth="1"/>
    <col min="37" max="37" width="44.7109375" style="167" customWidth="1"/>
    <col min="38" max="40" width="15.7109375" style="167" customWidth="1"/>
    <col min="41" max="41" width="44.7109375" style="167" customWidth="1"/>
    <col min="42" max="44" width="15.7109375" style="167" customWidth="1"/>
    <col min="45" max="16384" width="9.140625" style="167"/>
  </cols>
  <sheetData>
    <row r="1" spans="1:44" x14ac:dyDescent="0.2">
      <c r="A1" s="165" t="s">
        <v>75</v>
      </c>
      <c r="B1" s="340" t="str">
        <f>IF('Inventory Calculator'!I4="","",'Inventory Calculator'!I4)</f>
        <v/>
      </c>
      <c r="C1" s="340"/>
      <c r="E1" s="165" t="s">
        <v>75</v>
      </c>
      <c r="F1" s="340" t="str">
        <f>IF('Inventory Calculator'!I4="","",'Inventory Calculator'!I4)</f>
        <v/>
      </c>
      <c r="G1" s="340"/>
      <c r="I1" s="165" t="s">
        <v>75</v>
      </c>
      <c r="J1" s="340" t="str">
        <f>IF('Inventory Calculator'!I4="","",'Inventory Calculator'!I4)</f>
        <v/>
      </c>
      <c r="K1" s="340"/>
      <c r="M1" s="165" t="s">
        <v>75</v>
      </c>
      <c r="N1" s="340" t="str">
        <f>IF('Inventory Calculator'!I4="","",'Inventory Calculator'!I4)</f>
        <v/>
      </c>
      <c r="O1" s="340"/>
      <c r="Q1" s="165" t="s">
        <v>75</v>
      </c>
      <c r="R1" s="340" t="str">
        <f>IF('Inventory Calculator'!I4="","",'Inventory Calculator'!I4)</f>
        <v/>
      </c>
      <c r="S1" s="340"/>
      <c r="U1" s="165" t="s">
        <v>75</v>
      </c>
      <c r="V1" s="340" t="str">
        <f>IF('Inventory Calculator'!I4="","",'Inventory Calculator'!I4)</f>
        <v/>
      </c>
      <c r="W1" s="340"/>
      <c r="Y1" s="165" t="s">
        <v>75</v>
      </c>
      <c r="Z1" s="340" t="str">
        <f>IF('Inventory Calculator'!I4="","",'Inventory Calculator'!I4)</f>
        <v/>
      </c>
      <c r="AA1" s="340"/>
      <c r="AC1" s="165" t="s">
        <v>75</v>
      </c>
      <c r="AD1" s="340" t="str">
        <f>IF('Inventory Calculator'!I4="","",'Inventory Calculator'!I4)</f>
        <v/>
      </c>
      <c r="AE1" s="340"/>
      <c r="AG1" s="165" t="s">
        <v>75</v>
      </c>
      <c r="AH1" s="340" t="str">
        <f>IF('Inventory Calculator'!I4="","",'Inventory Calculator'!I4)</f>
        <v/>
      </c>
      <c r="AI1" s="340"/>
      <c r="AK1" s="165" t="s">
        <v>75</v>
      </c>
      <c r="AL1" s="340" t="str">
        <f>IF('Inventory Calculator'!I4="","",'Inventory Calculator'!I4)</f>
        <v/>
      </c>
      <c r="AM1" s="340"/>
      <c r="AO1" s="165" t="s">
        <v>75</v>
      </c>
      <c r="AP1" s="340" t="str">
        <f>IF('Inventory Calculator'!I4="","",'Inventory Calculator'!I4)</f>
        <v/>
      </c>
      <c r="AQ1" s="340"/>
    </row>
    <row r="2" spans="1:44" x14ac:dyDescent="0.2">
      <c r="A2" s="165" t="s">
        <v>191</v>
      </c>
      <c r="B2" s="341" t="str">
        <f>IF('Inventory Calculator'!I5="","",'Inventory Calculator'!I5)</f>
        <v/>
      </c>
      <c r="C2" s="341"/>
      <c r="E2" s="165" t="s">
        <v>191</v>
      </c>
      <c r="F2" s="341" t="str">
        <f>IF('Inventory Calculator'!I5="","",'Inventory Calculator'!I5)</f>
        <v/>
      </c>
      <c r="G2" s="341"/>
      <c r="I2" s="165" t="s">
        <v>191</v>
      </c>
      <c r="J2" s="341" t="str">
        <f>IF('Inventory Calculator'!I5="","",'Inventory Calculator'!I5)</f>
        <v/>
      </c>
      <c r="K2" s="341"/>
      <c r="M2" s="165" t="s">
        <v>191</v>
      </c>
      <c r="N2" s="341" t="str">
        <f>IF('Inventory Calculator'!I5="","",'Inventory Calculator'!I5)</f>
        <v/>
      </c>
      <c r="O2" s="341"/>
      <c r="Q2" s="165" t="s">
        <v>191</v>
      </c>
      <c r="R2" s="341" t="str">
        <f>IF('Inventory Calculator'!I5="","",'Inventory Calculator'!I5)</f>
        <v/>
      </c>
      <c r="S2" s="341"/>
      <c r="U2" s="165" t="s">
        <v>191</v>
      </c>
      <c r="V2" s="341" t="str">
        <f>IF('Inventory Calculator'!I5="","",'Inventory Calculator'!I5)</f>
        <v/>
      </c>
      <c r="W2" s="341"/>
      <c r="Y2" s="165" t="s">
        <v>191</v>
      </c>
      <c r="Z2" s="341" t="str">
        <f>IF('Inventory Calculator'!I5="","",'Inventory Calculator'!I5)</f>
        <v/>
      </c>
      <c r="AA2" s="341"/>
      <c r="AC2" s="165" t="s">
        <v>191</v>
      </c>
      <c r="AD2" s="341" t="str">
        <f>IF('Inventory Calculator'!I5="","",'Inventory Calculator'!I5)</f>
        <v/>
      </c>
      <c r="AE2" s="341"/>
      <c r="AG2" s="165" t="s">
        <v>191</v>
      </c>
      <c r="AH2" s="341" t="str">
        <f>IF('Inventory Calculator'!I5="","",'Inventory Calculator'!I5)</f>
        <v/>
      </c>
      <c r="AI2" s="341"/>
      <c r="AK2" s="165" t="s">
        <v>191</v>
      </c>
      <c r="AL2" s="341" t="str">
        <f>IF('Inventory Calculator'!I5="","",'Inventory Calculator'!I5)</f>
        <v/>
      </c>
      <c r="AM2" s="341"/>
      <c r="AO2" s="165" t="s">
        <v>191</v>
      </c>
      <c r="AP2" s="341" t="str">
        <f>IF('Inventory Calculator'!I5="","",'Inventory Calculator'!I5)</f>
        <v/>
      </c>
      <c r="AQ2" s="341"/>
    </row>
    <row r="4" spans="1:44" ht="16.5" thickBot="1" x14ac:dyDescent="0.3">
      <c r="A4" s="342" t="str">
        <f>"Opportunity Analysis Comparing Current and Proposed "&amp;('Current Rations'!C3)&amp;" Rations"</f>
        <v>Opportunity Analysis Comparing Current and Proposed  Rations</v>
      </c>
      <c r="B4" s="342"/>
      <c r="C4" s="342"/>
      <c r="D4" s="342"/>
      <c r="E4" s="342" t="str">
        <f>"Opportunity Analysis Comparing Current and Proposed "&amp;('Current Rations'!D3)&amp;" Rations"</f>
        <v>Opportunity Analysis Comparing Current and Proposed  Rations</v>
      </c>
      <c r="F4" s="342"/>
      <c r="G4" s="342"/>
      <c r="H4" s="342"/>
      <c r="I4" s="342" t="str">
        <f>"Opportunity Analysis Comparing Current and Proposed "&amp;('Current Rations'!E3)&amp;" Rations"</f>
        <v>Opportunity Analysis Comparing Current and Proposed  Rations</v>
      </c>
      <c r="J4" s="342"/>
      <c r="K4" s="342"/>
      <c r="L4" s="342"/>
      <c r="M4" s="342" t="str">
        <f>"Opportunity Analysis Comparing Current and Proposed "&amp;('Current Rations'!F3)&amp;" Rations"</f>
        <v>Opportunity Analysis Comparing Current and Proposed  Rations</v>
      </c>
      <c r="N4" s="342"/>
      <c r="O4" s="342"/>
      <c r="P4" s="342"/>
      <c r="Q4" s="342" t="str">
        <f>"Opportunity Analysis Comparing Current and Proposed "&amp;('Current Rations'!G3)&amp;" Rations"</f>
        <v>Opportunity Analysis Comparing Current and Proposed  Rations</v>
      </c>
      <c r="R4" s="342"/>
      <c r="S4" s="342"/>
      <c r="T4" s="342"/>
      <c r="U4" s="342" t="str">
        <f>"Opportunity Analysis Comparing Current and Proposed "&amp;('Current Rations'!H3)&amp;" Rations"</f>
        <v>Opportunity Analysis Comparing Current and Proposed  Rations</v>
      </c>
      <c r="V4" s="342"/>
      <c r="W4" s="342"/>
      <c r="X4" s="342"/>
      <c r="Y4" s="342" t="str">
        <f>"Opportunity Analysis Comparing Current and Proposed "&amp;('Current Rations'!I3)&amp;" Rations"</f>
        <v>Opportunity Analysis Comparing Current and Proposed  Rations</v>
      </c>
      <c r="Z4" s="342"/>
      <c r="AA4" s="342"/>
      <c r="AB4" s="342"/>
      <c r="AC4" s="342" t="str">
        <f>"Opportunity Analysis Comparing Current and Proposed "&amp;('Current Rations'!J3)&amp;" Rations"</f>
        <v>Opportunity Analysis Comparing Current and Proposed  Rations</v>
      </c>
      <c r="AD4" s="342"/>
      <c r="AE4" s="342"/>
      <c r="AF4" s="342"/>
      <c r="AG4" s="342" t="str">
        <f>"Opportunity Analysis Comparing Current and Proposed "&amp;('Current Rations'!K3)&amp;" Rations"</f>
        <v>Opportunity Analysis Comparing Current and Proposed  Rations</v>
      </c>
      <c r="AH4" s="342"/>
      <c r="AI4" s="342"/>
      <c r="AJ4" s="342"/>
      <c r="AK4" s="342" t="str">
        <f>"Opportunity Analysis Comparing Current and Proposed "&amp;('Current Rations'!L3)&amp;" Rations"</f>
        <v>Opportunity Analysis Comparing Current and Proposed  Rations</v>
      </c>
      <c r="AL4" s="342"/>
      <c r="AM4" s="342"/>
      <c r="AN4" s="342"/>
      <c r="AO4" s="342" t="s">
        <v>233</v>
      </c>
      <c r="AP4" s="342"/>
      <c r="AQ4" s="342"/>
      <c r="AR4" s="342"/>
    </row>
    <row r="5" spans="1:44" ht="13.5" thickBot="1" x14ac:dyDescent="0.25">
      <c r="A5" s="231"/>
      <c r="B5" s="232" t="s">
        <v>221</v>
      </c>
      <c r="C5" s="232" t="s">
        <v>222</v>
      </c>
      <c r="D5" s="233" t="s">
        <v>211</v>
      </c>
      <c r="E5" s="231"/>
      <c r="F5" s="232" t="s">
        <v>221</v>
      </c>
      <c r="G5" s="232" t="s">
        <v>222</v>
      </c>
      <c r="H5" s="233" t="s">
        <v>211</v>
      </c>
      <c r="I5" s="231"/>
      <c r="J5" s="232" t="s">
        <v>221</v>
      </c>
      <c r="K5" s="232" t="s">
        <v>222</v>
      </c>
      <c r="L5" s="233" t="s">
        <v>211</v>
      </c>
      <c r="M5" s="231"/>
      <c r="N5" s="232" t="s">
        <v>221</v>
      </c>
      <c r="O5" s="232" t="s">
        <v>222</v>
      </c>
      <c r="P5" s="233" t="s">
        <v>211</v>
      </c>
      <c r="Q5" s="231"/>
      <c r="R5" s="232" t="s">
        <v>221</v>
      </c>
      <c r="S5" s="232" t="s">
        <v>222</v>
      </c>
      <c r="T5" s="233" t="s">
        <v>211</v>
      </c>
      <c r="U5" s="231"/>
      <c r="V5" s="232" t="s">
        <v>221</v>
      </c>
      <c r="W5" s="232" t="s">
        <v>222</v>
      </c>
      <c r="X5" s="233" t="s">
        <v>211</v>
      </c>
      <c r="Y5" s="231"/>
      <c r="Z5" s="232" t="s">
        <v>221</v>
      </c>
      <c r="AA5" s="232" t="s">
        <v>222</v>
      </c>
      <c r="AB5" s="233" t="s">
        <v>211</v>
      </c>
      <c r="AC5" s="231"/>
      <c r="AD5" s="232" t="s">
        <v>221</v>
      </c>
      <c r="AE5" s="232" t="s">
        <v>222</v>
      </c>
      <c r="AF5" s="233" t="s">
        <v>211</v>
      </c>
      <c r="AG5" s="231"/>
      <c r="AH5" s="232" t="s">
        <v>221</v>
      </c>
      <c r="AI5" s="232" t="s">
        <v>222</v>
      </c>
      <c r="AJ5" s="233" t="s">
        <v>211</v>
      </c>
      <c r="AK5" s="231"/>
      <c r="AL5" s="232" t="s">
        <v>221</v>
      </c>
      <c r="AM5" s="232" t="s">
        <v>222</v>
      </c>
      <c r="AN5" s="233" t="s">
        <v>211</v>
      </c>
      <c r="AO5" s="231"/>
      <c r="AP5" s="232" t="s">
        <v>221</v>
      </c>
      <c r="AQ5" s="232" t="s">
        <v>222</v>
      </c>
      <c r="AR5" s="233" t="s">
        <v>211</v>
      </c>
    </row>
    <row r="6" spans="1:44" ht="13.5" thickBot="1" x14ac:dyDescent="0.25">
      <c r="A6" s="234" t="s">
        <v>223</v>
      </c>
      <c r="B6" s="235"/>
      <c r="C6" s="236"/>
      <c r="D6" s="237"/>
      <c r="E6" s="234" t="s">
        <v>223</v>
      </c>
      <c r="F6" s="235"/>
      <c r="G6" s="236"/>
      <c r="H6" s="237"/>
      <c r="I6" s="234" t="s">
        <v>223</v>
      </c>
      <c r="J6" s="235"/>
      <c r="K6" s="236"/>
      <c r="L6" s="237"/>
      <c r="M6" s="234" t="s">
        <v>223</v>
      </c>
      <c r="N6" s="235"/>
      <c r="O6" s="236"/>
      <c r="P6" s="237"/>
      <c r="Q6" s="234" t="s">
        <v>223</v>
      </c>
      <c r="R6" s="235"/>
      <c r="S6" s="236"/>
      <c r="T6" s="237"/>
      <c r="U6" s="234" t="s">
        <v>223</v>
      </c>
      <c r="V6" s="235"/>
      <c r="W6" s="236"/>
      <c r="X6" s="237"/>
      <c r="Y6" s="234" t="s">
        <v>223</v>
      </c>
      <c r="Z6" s="235"/>
      <c r="AA6" s="236"/>
      <c r="AB6" s="237"/>
      <c r="AC6" s="234" t="s">
        <v>223</v>
      </c>
      <c r="AD6" s="235"/>
      <c r="AE6" s="236"/>
      <c r="AF6" s="237"/>
      <c r="AG6" s="234" t="s">
        <v>223</v>
      </c>
      <c r="AH6" s="235"/>
      <c r="AI6" s="236"/>
      <c r="AJ6" s="237"/>
      <c r="AK6" s="234" t="s">
        <v>223</v>
      </c>
      <c r="AL6" s="235"/>
      <c r="AM6" s="236"/>
      <c r="AN6" s="237"/>
      <c r="AO6" s="234" t="s">
        <v>223</v>
      </c>
      <c r="AP6" s="235"/>
      <c r="AQ6" s="236"/>
      <c r="AR6" s="237"/>
    </row>
    <row r="7" spans="1:44" ht="14.25" thickTop="1" thickBot="1" x14ac:dyDescent="0.25">
      <c r="A7" s="238" t="s">
        <v>219</v>
      </c>
      <c r="B7" s="279" t="str">
        <f>'Current Rations'!C46</f>
        <v>0</v>
      </c>
      <c r="C7" s="280" t="str">
        <f>'Proposed Rations'!C46</f>
        <v>0</v>
      </c>
      <c r="D7" s="281">
        <f>IF(C7="-","-", C7-B7)</f>
        <v>0</v>
      </c>
      <c r="E7" s="238" t="s">
        <v>219</v>
      </c>
      <c r="F7" s="279" t="str">
        <f>'Current Rations'!D46</f>
        <v>0</v>
      </c>
      <c r="G7" s="280" t="str">
        <f>'Proposed Rations'!D46</f>
        <v>0</v>
      </c>
      <c r="H7" s="281">
        <f>IF(G7="-", "-",G7-F7)</f>
        <v>0</v>
      </c>
      <c r="I7" s="238" t="s">
        <v>219</v>
      </c>
      <c r="J7" s="279" t="str">
        <f>'Current Rations'!E46</f>
        <v>0</v>
      </c>
      <c r="K7" s="280" t="str">
        <f>'Proposed Rations'!E46</f>
        <v>0</v>
      </c>
      <c r="L7" s="281">
        <f>IF(K7="-", "-",K7-J7)</f>
        <v>0</v>
      </c>
      <c r="M7" s="238" t="s">
        <v>219</v>
      </c>
      <c r="N7" s="279" t="str">
        <f>'Current Rations'!F46</f>
        <v>0</v>
      </c>
      <c r="O7" s="280" t="str">
        <f>'Proposed Rations'!F46</f>
        <v>0</v>
      </c>
      <c r="P7" s="281">
        <f>IF(O7="-", "-",O7-N7)</f>
        <v>0</v>
      </c>
      <c r="Q7" s="238" t="s">
        <v>219</v>
      </c>
      <c r="R7" s="279" t="str">
        <f>'Current Rations'!G46</f>
        <v>0</v>
      </c>
      <c r="S7" s="280" t="str">
        <f>'Proposed Rations'!G46</f>
        <v>0</v>
      </c>
      <c r="T7" s="281">
        <f>IF(S7="-", "-",S7-R7)</f>
        <v>0</v>
      </c>
      <c r="U7" s="238" t="s">
        <v>219</v>
      </c>
      <c r="V7" s="279" t="str">
        <f>'Current Rations'!H46</f>
        <v>0</v>
      </c>
      <c r="W7" s="280" t="str">
        <f>'Proposed Rations'!H46</f>
        <v>0</v>
      </c>
      <c r="X7" s="281">
        <f>IF(W7="-", "-",W7-V7)</f>
        <v>0</v>
      </c>
      <c r="Y7" s="238" t="s">
        <v>219</v>
      </c>
      <c r="Z7" s="279" t="str">
        <f>'Current Rations'!I46</f>
        <v>0</v>
      </c>
      <c r="AA7" s="280" t="str">
        <f>'Proposed Rations'!I46</f>
        <v>0</v>
      </c>
      <c r="AB7" s="281">
        <f>IF(AA7="-", "-",AA7-Z7)</f>
        <v>0</v>
      </c>
      <c r="AC7" s="238" t="s">
        <v>219</v>
      </c>
      <c r="AD7" s="279" t="str">
        <f>'Current Rations'!J46</f>
        <v>0</v>
      </c>
      <c r="AE7" s="280" t="str">
        <f>'Proposed Rations'!J46</f>
        <v>0</v>
      </c>
      <c r="AF7" s="281">
        <f>IF(AE7="-", "-",AE7-AD7)</f>
        <v>0</v>
      </c>
      <c r="AG7" s="238" t="s">
        <v>219</v>
      </c>
      <c r="AH7" s="279" t="str">
        <f>'Current Rations'!K46</f>
        <v>0</v>
      </c>
      <c r="AI7" s="280" t="str">
        <f>'Proposed Rations'!K46</f>
        <v>0</v>
      </c>
      <c r="AJ7" s="281">
        <f>IF(AI7="-", "-",AI7-AH7)</f>
        <v>0</v>
      </c>
      <c r="AK7" s="238" t="s">
        <v>219</v>
      </c>
      <c r="AL7" s="279" t="str">
        <f>'Current Rations'!L46</f>
        <v>0</v>
      </c>
      <c r="AM7" s="280" t="str">
        <f>'Proposed Rations'!L46</f>
        <v>0</v>
      </c>
      <c r="AN7" s="281">
        <f>IF(AM7="-", "-",AM7-AL7)</f>
        <v>0</v>
      </c>
      <c r="AO7" s="238" t="s">
        <v>234</v>
      </c>
      <c r="AP7" s="279" t="e">
        <f>'Current Rations'!M46</f>
        <v>#DIV/0!</v>
      </c>
      <c r="AQ7" s="280" t="e">
        <f>'Proposed Rations'!M46</f>
        <v>#DIV/0!</v>
      </c>
      <c r="AR7" s="281" t="e">
        <f>IF(AQ7="-", "-",AQ7-AP7)</f>
        <v>#DIV/0!</v>
      </c>
    </row>
    <row r="8" spans="1:44" ht="13.5" thickBot="1" x14ac:dyDescent="0.25">
      <c r="A8" s="239" t="s">
        <v>230</v>
      </c>
      <c r="B8" s="240">
        <f>'Current Rations'!C56</f>
        <v>0</v>
      </c>
      <c r="C8" s="241">
        <f>'Proposed Rations'!C56</f>
        <v>0</v>
      </c>
      <c r="D8" s="242">
        <f t="shared" ref="D8" si="0">C8-B8</f>
        <v>0</v>
      </c>
      <c r="E8" s="239" t="s">
        <v>230</v>
      </c>
      <c r="F8" s="240">
        <f>'Current Rations'!D56</f>
        <v>0</v>
      </c>
      <c r="G8" s="241">
        <f>'Proposed Rations'!D56</f>
        <v>0</v>
      </c>
      <c r="H8" s="242">
        <f t="shared" ref="H8" si="1">G8-F8</f>
        <v>0</v>
      </c>
      <c r="I8" s="239" t="s">
        <v>230</v>
      </c>
      <c r="J8" s="240">
        <f>'Current Rations'!E56</f>
        <v>0</v>
      </c>
      <c r="K8" s="241">
        <f>'Proposed Rations'!E56</f>
        <v>0</v>
      </c>
      <c r="L8" s="242">
        <f t="shared" ref="L8" si="2">K8-J8</f>
        <v>0</v>
      </c>
      <c r="M8" s="239" t="s">
        <v>230</v>
      </c>
      <c r="N8" s="240">
        <f>'Current Rations'!F56</f>
        <v>0</v>
      </c>
      <c r="O8" s="241">
        <f>'Proposed Rations'!F56</f>
        <v>0</v>
      </c>
      <c r="P8" s="242">
        <f t="shared" ref="P8" si="3">O8-N8</f>
        <v>0</v>
      </c>
      <c r="Q8" s="239" t="s">
        <v>230</v>
      </c>
      <c r="R8" s="240">
        <f>'Current Rations'!G56</f>
        <v>0</v>
      </c>
      <c r="S8" s="241">
        <f>'Proposed Rations'!G56</f>
        <v>0</v>
      </c>
      <c r="T8" s="242">
        <f t="shared" ref="T8" si="4">S8-R8</f>
        <v>0</v>
      </c>
      <c r="U8" s="239" t="s">
        <v>230</v>
      </c>
      <c r="V8" s="240">
        <f>'Current Rations'!H56</f>
        <v>0</v>
      </c>
      <c r="W8" s="241">
        <f>'Proposed Rations'!H56</f>
        <v>0</v>
      </c>
      <c r="X8" s="242">
        <f t="shared" ref="X8" si="5">W8-V8</f>
        <v>0</v>
      </c>
      <c r="Y8" s="239" t="s">
        <v>230</v>
      </c>
      <c r="Z8" s="240">
        <f>'Current Rations'!I56</f>
        <v>0</v>
      </c>
      <c r="AA8" s="241">
        <f>'Proposed Rations'!I56</f>
        <v>0</v>
      </c>
      <c r="AB8" s="242">
        <f t="shared" ref="AB8" si="6">AA8-Z8</f>
        <v>0</v>
      </c>
      <c r="AC8" s="239" t="s">
        <v>230</v>
      </c>
      <c r="AD8" s="240">
        <f>'Current Rations'!J56</f>
        <v>0</v>
      </c>
      <c r="AE8" s="241">
        <f>'Proposed Rations'!J56</f>
        <v>0</v>
      </c>
      <c r="AF8" s="242">
        <f t="shared" ref="AF8" si="7">AE8-AD8</f>
        <v>0</v>
      </c>
      <c r="AG8" s="239" t="s">
        <v>230</v>
      </c>
      <c r="AH8" s="240">
        <f>'Current Rations'!K56</f>
        <v>0</v>
      </c>
      <c r="AI8" s="241">
        <f>'Proposed Rations'!K56</f>
        <v>0</v>
      </c>
      <c r="AJ8" s="242">
        <f t="shared" ref="AJ8" si="8">AI8-AH8</f>
        <v>0</v>
      </c>
      <c r="AK8" s="239" t="s">
        <v>230</v>
      </c>
      <c r="AL8" s="240">
        <f>'Current Rations'!L56</f>
        <v>0</v>
      </c>
      <c r="AM8" s="241">
        <f>'Proposed Rations'!L56</f>
        <v>0</v>
      </c>
      <c r="AN8" s="242">
        <f t="shared" ref="AN8" si="9">AM8-AL8</f>
        <v>0</v>
      </c>
      <c r="AO8" s="239" t="s">
        <v>235</v>
      </c>
      <c r="AP8" s="240" t="e">
        <f>'Current Rations'!N57</f>
        <v>#DIV/0!</v>
      </c>
      <c r="AQ8" s="241" t="e">
        <f>'Proposed Rations'!N57</f>
        <v>#DIV/0!</v>
      </c>
      <c r="AR8" s="242" t="e">
        <f t="shared" ref="AR8" si="10">AQ8-AP8</f>
        <v>#DIV/0!</v>
      </c>
    </row>
    <row r="9" spans="1:44" x14ac:dyDescent="0.2">
      <c r="A9" s="277" t="s">
        <v>250</v>
      </c>
      <c r="B9" s="276">
        <f>B8*'Current Rations'!C27*365</f>
        <v>0</v>
      </c>
      <c r="C9" s="251">
        <f>C8*'Proposed Rations'!C27*365</f>
        <v>0</v>
      </c>
      <c r="D9" s="242">
        <f>C9-B9</f>
        <v>0</v>
      </c>
      <c r="E9" s="275" t="s">
        <v>250</v>
      </c>
      <c r="F9" s="276">
        <f>F8*'Current Rations'!D27*365</f>
        <v>0</v>
      </c>
      <c r="G9" s="251">
        <f>G8*'Proposed Rations'!D27*365</f>
        <v>0</v>
      </c>
      <c r="H9" s="242">
        <f>G9-F9</f>
        <v>0</v>
      </c>
      <c r="I9" s="275" t="s">
        <v>250</v>
      </c>
      <c r="J9" s="276">
        <f>J8*'Current Rations'!E27*365</f>
        <v>0</v>
      </c>
      <c r="K9" s="251">
        <f>K8*'Proposed Rations'!E27*365</f>
        <v>0</v>
      </c>
      <c r="L9" s="242">
        <f>K9-J9</f>
        <v>0</v>
      </c>
      <c r="M9" s="275" t="s">
        <v>250</v>
      </c>
      <c r="N9" s="276">
        <f>N8*'Current Rations'!F27*365</f>
        <v>0</v>
      </c>
      <c r="O9" s="251">
        <f>O8*'Proposed Rations'!F27*365</f>
        <v>0</v>
      </c>
      <c r="P9" s="242">
        <f>O9-N9</f>
        <v>0</v>
      </c>
      <c r="Q9" s="275" t="s">
        <v>250</v>
      </c>
      <c r="R9" s="276">
        <f>R8*'Current Rations'!G27*365</f>
        <v>0</v>
      </c>
      <c r="S9" s="251">
        <f>S8*'Proposed Rations'!G27*365</f>
        <v>0</v>
      </c>
      <c r="T9" s="242">
        <f>S9-R9</f>
        <v>0</v>
      </c>
      <c r="U9" s="275" t="s">
        <v>250</v>
      </c>
      <c r="V9" s="276">
        <f>V8*'Current Rations'!H27*365</f>
        <v>0</v>
      </c>
      <c r="W9" s="251">
        <f>W8*'Proposed Rations'!H27*365</f>
        <v>0</v>
      </c>
      <c r="X9" s="242">
        <f>W9-V9</f>
        <v>0</v>
      </c>
      <c r="Y9" s="275" t="s">
        <v>250</v>
      </c>
      <c r="Z9" s="276">
        <f>Z8*'Current Rations'!I27*365</f>
        <v>0</v>
      </c>
      <c r="AA9" s="251">
        <f>AA8*'Proposed Rations'!I27*365</f>
        <v>0</v>
      </c>
      <c r="AB9" s="242">
        <f>AA9-Z9</f>
        <v>0</v>
      </c>
      <c r="AC9" s="275" t="s">
        <v>250</v>
      </c>
      <c r="AD9" s="276">
        <f>AD8*'Current Rations'!J27*365</f>
        <v>0</v>
      </c>
      <c r="AE9" s="251">
        <f>AE8*'Proposed Rations'!J27*365</f>
        <v>0</v>
      </c>
      <c r="AF9" s="242">
        <f>AE9-AD9</f>
        <v>0</v>
      </c>
      <c r="AG9" s="275" t="s">
        <v>250</v>
      </c>
      <c r="AH9" s="276">
        <f>AH8*'Current Rations'!K27*365</f>
        <v>0</v>
      </c>
      <c r="AI9" s="251">
        <f>AI8*'Proposed Rations'!K27*365</f>
        <v>0</v>
      </c>
      <c r="AJ9" s="242">
        <f>AI9-AH9</f>
        <v>0</v>
      </c>
      <c r="AK9" s="275" t="s">
        <v>250</v>
      </c>
      <c r="AL9" s="276">
        <f>AL8*'Current Rations'!L27*365</f>
        <v>0</v>
      </c>
      <c r="AM9" s="251">
        <f>AM8*'Proposed Rations'!L27*365</f>
        <v>0</v>
      </c>
      <c r="AN9" s="242">
        <f>AM9-AL9</f>
        <v>0</v>
      </c>
      <c r="AO9" s="277" t="s">
        <v>251</v>
      </c>
      <c r="AP9" s="276">
        <f>SUM(AL9,AH9,AD9,Z9,V9,R9,N9,J9,F9,B9)</f>
        <v>0</v>
      </c>
      <c r="AQ9" s="276">
        <f>SUM(AM9,AI9,AE9,AA9,W9,S9,O9,K9,G9,C9)</f>
        <v>0</v>
      </c>
      <c r="AR9" s="242">
        <f>AQ9-AP9</f>
        <v>0</v>
      </c>
    </row>
    <row r="10" spans="1:44" x14ac:dyDescent="0.2">
      <c r="A10" s="343" t="str">
        <f>"Change in Revenue / "&amp;'Current Rations'!C3&amp;" Ration / Year"</f>
        <v>Change in Revenue /  Ration / Year</v>
      </c>
      <c r="B10" s="343"/>
      <c r="C10" s="344"/>
      <c r="D10" s="222">
        <f>D9</f>
        <v>0</v>
      </c>
      <c r="E10" s="343" t="str">
        <f>"Change in Revenue / "&amp;'Current Rations'!D3&amp;" Ration / Year"</f>
        <v>Change in Revenue /  Ration / Year</v>
      </c>
      <c r="F10" s="343"/>
      <c r="G10" s="344"/>
      <c r="H10" s="222">
        <f>H9</f>
        <v>0</v>
      </c>
      <c r="I10" s="343" t="str">
        <f>"Change in Revenue / "&amp;'Current Rations'!E3&amp;" Ration / Year"</f>
        <v>Change in Revenue /  Ration / Year</v>
      </c>
      <c r="J10" s="343"/>
      <c r="K10" s="344"/>
      <c r="L10" s="222">
        <f>L9</f>
        <v>0</v>
      </c>
      <c r="M10" s="343" t="str">
        <f>"Change in Revenue / "&amp;'Current Rations'!F3&amp;" Ration / Year"</f>
        <v>Change in Revenue /  Ration / Year</v>
      </c>
      <c r="N10" s="343"/>
      <c r="O10" s="344"/>
      <c r="P10" s="222">
        <f>P9</f>
        <v>0</v>
      </c>
      <c r="Q10" s="343" t="str">
        <f>"Change in Revenue / "&amp;'Current Rations'!G3&amp;" Ration / Year"</f>
        <v>Change in Revenue /  Ration / Year</v>
      </c>
      <c r="R10" s="343"/>
      <c r="S10" s="344"/>
      <c r="T10" s="222">
        <f>T9</f>
        <v>0</v>
      </c>
      <c r="U10" s="343" t="str">
        <f>"Change in Revenue / "&amp;'Current Rations'!H3&amp;" Ration / Year"</f>
        <v>Change in Revenue /  Ration / Year</v>
      </c>
      <c r="V10" s="343"/>
      <c r="W10" s="344"/>
      <c r="X10" s="222">
        <f>X9</f>
        <v>0</v>
      </c>
      <c r="Y10" s="343" t="str">
        <f>"Change in Revenue / "&amp;'Current Rations'!I3&amp;" Ration / Year"</f>
        <v>Change in Revenue /  Ration / Year</v>
      </c>
      <c r="Z10" s="343"/>
      <c r="AA10" s="344"/>
      <c r="AB10" s="222">
        <f>AB9</f>
        <v>0</v>
      </c>
      <c r="AC10" s="343" t="str">
        <f>"Change in Revenue / "&amp;'Current Rations'!J3&amp;" Ration / Year"</f>
        <v>Change in Revenue /  Ration / Year</v>
      </c>
      <c r="AD10" s="343"/>
      <c r="AE10" s="344"/>
      <c r="AF10" s="222">
        <f>AF9</f>
        <v>0</v>
      </c>
      <c r="AG10" s="343" t="str">
        <f>"Change in Revenue / "&amp;'Current Rations'!K3&amp;" Ration / Year"</f>
        <v>Change in Revenue /  Ration / Year</v>
      </c>
      <c r="AH10" s="343"/>
      <c r="AI10" s="344"/>
      <c r="AJ10" s="222">
        <f>AJ9</f>
        <v>0</v>
      </c>
      <c r="AK10" s="343" t="str">
        <f>"Change in Revenue / "&amp;'Current Rations'!L3&amp;" Ration / Year"</f>
        <v>Change in Revenue /  Ration / Year</v>
      </c>
      <c r="AL10" s="343"/>
      <c r="AM10" s="344"/>
      <c r="AN10" s="222">
        <f>AN9</f>
        <v>0</v>
      </c>
      <c r="AO10" s="343" t="s">
        <v>239</v>
      </c>
      <c r="AP10" s="343"/>
      <c r="AQ10" s="344"/>
      <c r="AR10" s="222">
        <f>AR9</f>
        <v>0</v>
      </c>
    </row>
    <row r="11" spans="1:44" x14ac:dyDescent="0.2">
      <c r="A11" s="243"/>
      <c r="B11" s="244"/>
      <c r="C11" s="244"/>
      <c r="D11" s="245"/>
      <c r="E11" s="243"/>
      <c r="F11" s="244"/>
      <c r="G11" s="244"/>
      <c r="H11" s="245"/>
      <c r="I11" s="243"/>
      <c r="J11" s="244"/>
      <c r="K11" s="244"/>
      <c r="L11" s="245"/>
      <c r="M11" s="243"/>
      <c r="N11" s="244"/>
      <c r="O11" s="244"/>
      <c r="P11" s="245"/>
      <c r="Q11" s="243"/>
      <c r="R11" s="244"/>
      <c r="S11" s="244"/>
      <c r="T11" s="245"/>
      <c r="U11" s="243"/>
      <c r="V11" s="244"/>
      <c r="W11" s="244"/>
      <c r="X11" s="245"/>
      <c r="Y11" s="243"/>
      <c r="Z11" s="244"/>
      <c r="AA11" s="244"/>
      <c r="AB11" s="245"/>
      <c r="AC11" s="243"/>
      <c r="AD11" s="244"/>
      <c r="AE11" s="244"/>
      <c r="AF11" s="245"/>
      <c r="AG11" s="243"/>
      <c r="AH11" s="244"/>
      <c r="AI11" s="244"/>
      <c r="AJ11" s="245"/>
      <c r="AK11" s="243"/>
      <c r="AL11" s="244"/>
      <c r="AM11" s="244"/>
      <c r="AN11" s="245"/>
      <c r="AO11" s="243"/>
      <c r="AP11" s="244"/>
      <c r="AQ11" s="244"/>
      <c r="AR11" s="245"/>
    </row>
    <row r="12" spans="1:44" ht="13.5" thickBot="1" x14ac:dyDescent="0.25">
      <c r="A12" s="246" t="s">
        <v>224</v>
      </c>
      <c r="B12" s="247"/>
      <c r="C12" s="247"/>
      <c r="D12" s="248"/>
      <c r="E12" s="246" t="s">
        <v>224</v>
      </c>
      <c r="F12" s="247"/>
      <c r="G12" s="247"/>
      <c r="H12" s="248"/>
      <c r="I12" s="246" t="s">
        <v>224</v>
      </c>
      <c r="J12" s="247"/>
      <c r="K12" s="247"/>
      <c r="L12" s="248"/>
      <c r="M12" s="246" t="s">
        <v>224</v>
      </c>
      <c r="N12" s="247"/>
      <c r="O12" s="247"/>
      <c r="P12" s="248"/>
      <c r="Q12" s="246" t="s">
        <v>224</v>
      </c>
      <c r="R12" s="247"/>
      <c r="S12" s="247"/>
      <c r="T12" s="248"/>
      <c r="U12" s="246" t="s">
        <v>224</v>
      </c>
      <c r="V12" s="247"/>
      <c r="W12" s="247"/>
      <c r="X12" s="248"/>
      <c r="Y12" s="246" t="s">
        <v>224</v>
      </c>
      <c r="Z12" s="247"/>
      <c r="AA12" s="247"/>
      <c r="AB12" s="248"/>
      <c r="AC12" s="246" t="s">
        <v>224</v>
      </c>
      <c r="AD12" s="247"/>
      <c r="AE12" s="247"/>
      <c r="AF12" s="248"/>
      <c r="AG12" s="246" t="s">
        <v>224</v>
      </c>
      <c r="AH12" s="247"/>
      <c r="AI12" s="247"/>
      <c r="AJ12" s="248"/>
      <c r="AK12" s="246" t="s">
        <v>224</v>
      </c>
      <c r="AL12" s="247"/>
      <c r="AM12" s="247"/>
      <c r="AN12" s="248"/>
      <c r="AO12" s="246" t="s">
        <v>224</v>
      </c>
      <c r="AP12" s="247"/>
      <c r="AQ12" s="247"/>
      <c r="AR12" s="248"/>
    </row>
    <row r="13" spans="1:44" ht="14.25" thickTop="1" thickBot="1" x14ac:dyDescent="0.25">
      <c r="A13" s="249" t="s">
        <v>226</v>
      </c>
      <c r="B13" s="282">
        <f>IF('Current Rations'!C26="-", 0,'Current Rations'!C33/'Current Rations'!C26)</f>
        <v>0</v>
      </c>
      <c r="C13" s="283">
        <f>IF('Proposed Rations'!C26="-",0,'Proposed Rations'!C33/'Proposed Rations'!C26)</f>
        <v>0</v>
      </c>
      <c r="D13" s="290">
        <f>C13-B13</f>
        <v>0</v>
      </c>
      <c r="E13" s="249" t="s">
        <v>226</v>
      </c>
      <c r="F13" s="282">
        <f>IF('Current Rations'!D26="-", 0,'Current Rations'!D33/'Current Rations'!D26)</f>
        <v>0</v>
      </c>
      <c r="G13" s="283">
        <f>IF('Proposed Rations'!D26="-",0,'Proposed Rations'!D33/'Proposed Rations'!D26)</f>
        <v>0</v>
      </c>
      <c r="H13" s="290">
        <f>G13-F13</f>
        <v>0</v>
      </c>
      <c r="I13" s="249" t="s">
        <v>226</v>
      </c>
      <c r="J13" s="282">
        <f>IF('Current Rations'!E26="-", 0,'Current Rations'!E33/'Current Rations'!E26)</f>
        <v>0</v>
      </c>
      <c r="K13" s="283">
        <f>IF('Proposed Rations'!E26="-",0,'Proposed Rations'!E33/'Proposed Rations'!E26)</f>
        <v>0</v>
      </c>
      <c r="L13" s="290">
        <f>K13-J13</f>
        <v>0</v>
      </c>
      <c r="M13" s="249" t="s">
        <v>226</v>
      </c>
      <c r="N13" s="282">
        <f>IF('Current Rations'!F26="-", 0,'Current Rations'!F33/'Current Rations'!F26)</f>
        <v>0</v>
      </c>
      <c r="O13" s="283">
        <f>IF('Proposed Rations'!F26="-",0,'Proposed Rations'!F33/'Proposed Rations'!F26)</f>
        <v>0</v>
      </c>
      <c r="P13" s="290">
        <f>O13-N13</f>
        <v>0</v>
      </c>
      <c r="Q13" s="249" t="s">
        <v>226</v>
      </c>
      <c r="R13" s="282">
        <f>IF('Current Rations'!G26="-", 0,'Current Rations'!G33/'Current Rations'!G26)</f>
        <v>0</v>
      </c>
      <c r="S13" s="283">
        <f>IF('Proposed Rations'!G26="-",0,'Proposed Rations'!G33/'Proposed Rations'!G26)</f>
        <v>0</v>
      </c>
      <c r="T13" s="290">
        <f>S13-R13</f>
        <v>0</v>
      </c>
      <c r="U13" s="249" t="s">
        <v>226</v>
      </c>
      <c r="V13" s="282">
        <f>IF('Current Rations'!H26="-", 0,'Current Rations'!H33/'Current Rations'!H26)</f>
        <v>0</v>
      </c>
      <c r="W13" s="283">
        <f>IF('Proposed Rations'!H26="-",0,'Proposed Rations'!H33/'Proposed Rations'!H26)</f>
        <v>0</v>
      </c>
      <c r="X13" s="290">
        <f>W13-V13</f>
        <v>0</v>
      </c>
      <c r="Y13" s="249" t="s">
        <v>226</v>
      </c>
      <c r="Z13" s="282">
        <f>IF('Current Rations'!I26="-", 0,'Current Rations'!I33/'Current Rations'!I26)</f>
        <v>0</v>
      </c>
      <c r="AA13" s="283">
        <f>IF('Proposed Rations'!I26="-",0,'Proposed Rations'!I33/'Proposed Rations'!I26)</f>
        <v>0</v>
      </c>
      <c r="AB13" s="290">
        <f>AA13-Z13</f>
        <v>0</v>
      </c>
      <c r="AC13" s="249" t="s">
        <v>226</v>
      </c>
      <c r="AD13" s="282">
        <f>IF('Current Rations'!J26="-", 0,'Current Rations'!J33/'Current Rations'!J26)</f>
        <v>0</v>
      </c>
      <c r="AE13" s="283">
        <f>IF('Proposed Rations'!J26="-",0,'Proposed Rations'!J33/'Proposed Rations'!J26)</f>
        <v>0</v>
      </c>
      <c r="AF13" s="290">
        <f>AE13-AD13</f>
        <v>0</v>
      </c>
      <c r="AG13" s="249" t="s">
        <v>226</v>
      </c>
      <c r="AH13" s="282">
        <f>IF('Current Rations'!K26="-", 0,'Current Rations'!K33/'Current Rations'!K26)</f>
        <v>0</v>
      </c>
      <c r="AI13" s="283">
        <f>IF('Proposed Rations'!K26="-",0,'Proposed Rations'!K33/'Proposed Rations'!K26)</f>
        <v>0</v>
      </c>
      <c r="AJ13" s="290">
        <f>AI13-AH13</f>
        <v>0</v>
      </c>
      <c r="AK13" s="249" t="s">
        <v>226</v>
      </c>
      <c r="AL13" s="282">
        <f>IF('Current Rations'!L26="-", 0,'Current Rations'!L33/'Current Rations'!L26)</f>
        <v>0</v>
      </c>
      <c r="AM13" s="283">
        <f>IF('Proposed Rations'!L26="-",0,'Proposed Rations'!L33/'Proposed Rations'!L26)</f>
        <v>0</v>
      </c>
      <c r="AN13" s="290">
        <f>AM13-AL13</f>
        <v>0</v>
      </c>
      <c r="AO13" s="249" t="s">
        <v>226</v>
      </c>
      <c r="AP13" s="282" t="e">
        <f>'Current Rations'!O61</f>
        <v>#DIV/0!</v>
      </c>
      <c r="AQ13" s="283" t="e">
        <f>'Proposed Rations'!O61</f>
        <v>#DIV/0!</v>
      </c>
      <c r="AR13" s="290" t="e">
        <f>AQ13-AP13</f>
        <v>#DIV/0!</v>
      </c>
    </row>
    <row r="14" spans="1:44" ht="13.5" thickBot="1" x14ac:dyDescent="0.25">
      <c r="A14" s="238" t="s">
        <v>220</v>
      </c>
      <c r="B14" s="284">
        <f>IF('Current Rations'!C33="-",0,'Current Rations'!C33)</f>
        <v>0</v>
      </c>
      <c r="C14" s="285">
        <f>IF('Proposed Rations'!C33="-",0,'Proposed Rations'!C33)</f>
        <v>0</v>
      </c>
      <c r="D14" s="284">
        <f>C14-B14</f>
        <v>0</v>
      </c>
      <c r="E14" s="238" t="s">
        <v>220</v>
      </c>
      <c r="F14" s="284">
        <f>IF('Current Rations'!D33="-",0,'Current Rations'!D33)</f>
        <v>0</v>
      </c>
      <c r="G14" s="285">
        <f>IF('Proposed Rations'!D33="-",0,'Proposed Rations'!D33)</f>
        <v>0</v>
      </c>
      <c r="H14" s="284">
        <f>G14-F14</f>
        <v>0</v>
      </c>
      <c r="I14" s="238" t="s">
        <v>220</v>
      </c>
      <c r="J14" s="284">
        <f>IF('Current Rations'!E33="-",0,'Current Rations'!E33)</f>
        <v>0</v>
      </c>
      <c r="K14" s="285">
        <f>IF('Proposed Rations'!E33="-",0,'Proposed Rations'!E33)</f>
        <v>0</v>
      </c>
      <c r="L14" s="284">
        <f>K14-J14</f>
        <v>0</v>
      </c>
      <c r="M14" s="238" t="s">
        <v>220</v>
      </c>
      <c r="N14" s="284">
        <f>IF('Current Rations'!F33="-",0,'Current Rations'!F33)</f>
        <v>0</v>
      </c>
      <c r="O14" s="285">
        <f>IF('Proposed Rations'!F33="-",0,'Proposed Rations'!F33)</f>
        <v>0</v>
      </c>
      <c r="P14" s="284">
        <f>O14-N14</f>
        <v>0</v>
      </c>
      <c r="Q14" s="238" t="s">
        <v>220</v>
      </c>
      <c r="R14" s="284">
        <f>IF('Current Rations'!G33="-",0,'Current Rations'!G33)</f>
        <v>0</v>
      </c>
      <c r="S14" s="285">
        <f>IF('Proposed Rations'!G33="-",0,'Proposed Rations'!G33)</f>
        <v>0</v>
      </c>
      <c r="T14" s="284">
        <f>S14-R14</f>
        <v>0</v>
      </c>
      <c r="U14" s="238" t="s">
        <v>220</v>
      </c>
      <c r="V14" s="284">
        <f>IF('Current Rations'!H33="-",0,'Current Rations'!H33)</f>
        <v>0</v>
      </c>
      <c r="W14" s="285">
        <f>IF('Proposed Rations'!H33="-",0,'Proposed Rations'!H33)</f>
        <v>0</v>
      </c>
      <c r="X14" s="284">
        <f>W14-V14</f>
        <v>0</v>
      </c>
      <c r="Y14" s="238" t="s">
        <v>220</v>
      </c>
      <c r="Z14" s="284">
        <f>IF('Current Rations'!I33="-",0,'Current Rations'!I33)</f>
        <v>0</v>
      </c>
      <c r="AA14" s="285">
        <f>IF('Proposed Rations'!I33="-",0,'Proposed Rations'!I33)</f>
        <v>0</v>
      </c>
      <c r="AB14" s="284">
        <f>AA14-Z14</f>
        <v>0</v>
      </c>
      <c r="AC14" s="238" t="s">
        <v>220</v>
      </c>
      <c r="AD14" s="284">
        <f>IF('Current Rations'!J33="-",0,'Current Rations'!J33)</f>
        <v>0</v>
      </c>
      <c r="AE14" s="285">
        <f>IF('Proposed Rations'!J33="-",0,'Proposed Rations'!J33)</f>
        <v>0</v>
      </c>
      <c r="AF14" s="284">
        <f>AE14-AD14</f>
        <v>0</v>
      </c>
      <c r="AG14" s="238" t="s">
        <v>220</v>
      </c>
      <c r="AH14" s="284">
        <f>IF('Current Rations'!K33="-",0,'Current Rations'!K33)</f>
        <v>0</v>
      </c>
      <c r="AI14" s="285">
        <f>IF('Proposed Rations'!K33="-",0,'Proposed Rations'!K33)</f>
        <v>0</v>
      </c>
      <c r="AJ14" s="284">
        <f>AI14-AH14</f>
        <v>0</v>
      </c>
      <c r="AK14" s="238" t="s">
        <v>220</v>
      </c>
      <c r="AL14" s="284">
        <f>IF('Current Rations'!L33="-",0,'Current Rations'!L33)</f>
        <v>0</v>
      </c>
      <c r="AM14" s="285">
        <f>IF('Proposed Rations'!L33="-",0,'Proposed Rations'!L33)</f>
        <v>0</v>
      </c>
      <c r="AN14" s="284">
        <f>AM14-AL14</f>
        <v>0</v>
      </c>
      <c r="AO14" s="238" t="s">
        <v>220</v>
      </c>
      <c r="AP14" s="284" t="e">
        <f>'Current Rations'!N52</f>
        <v>#DIV/0!</v>
      </c>
      <c r="AQ14" s="285" t="e">
        <f>'Proposed Rations'!N52</f>
        <v>#DIV/0!</v>
      </c>
      <c r="AR14" s="284" t="e">
        <f>AQ14-AP14</f>
        <v>#DIV/0!</v>
      </c>
    </row>
    <row r="15" spans="1:44" ht="13.5" thickBot="1" x14ac:dyDescent="0.25">
      <c r="A15" s="238" t="s">
        <v>225</v>
      </c>
      <c r="B15" s="286">
        <f>'Current Rations'!C53</f>
        <v>0</v>
      </c>
      <c r="C15" s="287">
        <f>'Proposed Rations'!C53</f>
        <v>0</v>
      </c>
      <c r="D15" s="284">
        <f>C15-B15</f>
        <v>0</v>
      </c>
      <c r="E15" s="238" t="s">
        <v>225</v>
      </c>
      <c r="F15" s="286">
        <f>'Current Rations'!D53</f>
        <v>0</v>
      </c>
      <c r="G15" s="287">
        <f>'Proposed Rations'!D53</f>
        <v>0</v>
      </c>
      <c r="H15" s="284">
        <f>G15-F15</f>
        <v>0</v>
      </c>
      <c r="I15" s="238" t="s">
        <v>225</v>
      </c>
      <c r="J15" s="286">
        <f>'Current Rations'!E53</f>
        <v>0</v>
      </c>
      <c r="K15" s="287">
        <f>'Proposed Rations'!E53</f>
        <v>0</v>
      </c>
      <c r="L15" s="284">
        <f>K15-J15</f>
        <v>0</v>
      </c>
      <c r="M15" s="238" t="s">
        <v>225</v>
      </c>
      <c r="N15" s="286">
        <f>'Current Rations'!F53</f>
        <v>0</v>
      </c>
      <c r="O15" s="287">
        <f>'Proposed Rations'!F53</f>
        <v>0</v>
      </c>
      <c r="P15" s="284">
        <f>O15-N15</f>
        <v>0</v>
      </c>
      <c r="Q15" s="238" t="s">
        <v>225</v>
      </c>
      <c r="R15" s="286">
        <f>'Current Rations'!G53</f>
        <v>0</v>
      </c>
      <c r="S15" s="287">
        <f>'Proposed Rations'!G53</f>
        <v>0</v>
      </c>
      <c r="T15" s="284">
        <f>S15-R15</f>
        <v>0</v>
      </c>
      <c r="U15" s="238" t="s">
        <v>225</v>
      </c>
      <c r="V15" s="286">
        <f>'Current Rations'!H53</f>
        <v>0</v>
      </c>
      <c r="W15" s="287">
        <f>'Proposed Rations'!H53</f>
        <v>0</v>
      </c>
      <c r="X15" s="284">
        <f>W15-V15</f>
        <v>0</v>
      </c>
      <c r="Y15" s="238" t="s">
        <v>225</v>
      </c>
      <c r="Z15" s="286">
        <f>'Current Rations'!I53</f>
        <v>0</v>
      </c>
      <c r="AA15" s="287">
        <f>'Proposed Rations'!I53</f>
        <v>0</v>
      </c>
      <c r="AB15" s="284">
        <f>AA15-Z15</f>
        <v>0</v>
      </c>
      <c r="AC15" s="238" t="s">
        <v>225</v>
      </c>
      <c r="AD15" s="286">
        <f>'Current Rations'!J53</f>
        <v>0</v>
      </c>
      <c r="AE15" s="287">
        <f>'Proposed Rations'!J53</f>
        <v>0</v>
      </c>
      <c r="AF15" s="284">
        <f>AE15-AD15</f>
        <v>0</v>
      </c>
      <c r="AG15" s="238" t="s">
        <v>225</v>
      </c>
      <c r="AH15" s="286">
        <f>'Current Rations'!K53</f>
        <v>0</v>
      </c>
      <c r="AI15" s="287">
        <f>'Proposed Rations'!K53</f>
        <v>0</v>
      </c>
      <c r="AJ15" s="284">
        <f>AI15-AH15</f>
        <v>0</v>
      </c>
      <c r="AK15" s="238" t="s">
        <v>225</v>
      </c>
      <c r="AL15" s="286">
        <f>'Current Rations'!L53</f>
        <v>0</v>
      </c>
      <c r="AM15" s="287">
        <f>'Proposed Rations'!L53</f>
        <v>0</v>
      </c>
      <c r="AN15" s="284">
        <f>AM15-AL15</f>
        <v>0</v>
      </c>
      <c r="AO15" s="238" t="s">
        <v>225</v>
      </c>
      <c r="AP15" s="286" t="e">
        <f>'Current Rations'!N55</f>
        <v>#DIV/0!</v>
      </c>
      <c r="AQ15" s="287" t="e">
        <f>'Proposed Rations'!N55</f>
        <v>#DIV/0!</v>
      </c>
      <c r="AR15" s="284" t="e">
        <f>AQ15-AP15</f>
        <v>#DIV/0!</v>
      </c>
    </row>
    <row r="16" spans="1:44" ht="13.5" thickBot="1" x14ac:dyDescent="0.25">
      <c r="A16" s="238" t="s">
        <v>229</v>
      </c>
      <c r="B16" s="288">
        <f>B14*365</f>
        <v>0</v>
      </c>
      <c r="C16" s="288">
        <f>C14*365</f>
        <v>0</v>
      </c>
      <c r="D16" s="289">
        <f t="shared" ref="D16:D17" si="11">C16-B16</f>
        <v>0</v>
      </c>
      <c r="E16" s="238" t="s">
        <v>229</v>
      </c>
      <c r="F16" s="288">
        <f>F14*365</f>
        <v>0</v>
      </c>
      <c r="G16" s="288">
        <f>G14*365</f>
        <v>0</v>
      </c>
      <c r="H16" s="289">
        <f t="shared" ref="H16:H17" si="12">G16-F16</f>
        <v>0</v>
      </c>
      <c r="I16" s="238" t="s">
        <v>229</v>
      </c>
      <c r="J16" s="288">
        <f>J14*365</f>
        <v>0</v>
      </c>
      <c r="K16" s="288">
        <f>K14*365</f>
        <v>0</v>
      </c>
      <c r="L16" s="289">
        <f t="shared" ref="L16:L17" si="13">K16-J16</f>
        <v>0</v>
      </c>
      <c r="M16" s="238" t="s">
        <v>229</v>
      </c>
      <c r="N16" s="288">
        <f>N14*365</f>
        <v>0</v>
      </c>
      <c r="O16" s="288">
        <f>O14*365</f>
        <v>0</v>
      </c>
      <c r="P16" s="289">
        <f t="shared" ref="P16:P17" si="14">O16-N16</f>
        <v>0</v>
      </c>
      <c r="Q16" s="238" t="s">
        <v>229</v>
      </c>
      <c r="R16" s="288">
        <f>R14*365</f>
        <v>0</v>
      </c>
      <c r="S16" s="288">
        <f>S14*365</f>
        <v>0</v>
      </c>
      <c r="T16" s="289">
        <f t="shared" ref="T16:T17" si="15">S16-R16</f>
        <v>0</v>
      </c>
      <c r="U16" s="238" t="s">
        <v>229</v>
      </c>
      <c r="V16" s="288">
        <f>V14*365</f>
        <v>0</v>
      </c>
      <c r="W16" s="288">
        <f>W14*365</f>
        <v>0</v>
      </c>
      <c r="X16" s="289">
        <f t="shared" ref="X16:X17" si="16">W16-V16</f>
        <v>0</v>
      </c>
      <c r="Y16" s="238" t="s">
        <v>229</v>
      </c>
      <c r="Z16" s="288">
        <f>Z14*365</f>
        <v>0</v>
      </c>
      <c r="AA16" s="288">
        <f>AA14*365</f>
        <v>0</v>
      </c>
      <c r="AB16" s="289">
        <f t="shared" ref="AB16:AB17" si="17">AA16-Z16</f>
        <v>0</v>
      </c>
      <c r="AC16" s="238" t="s">
        <v>229</v>
      </c>
      <c r="AD16" s="288">
        <f>AD14*365</f>
        <v>0</v>
      </c>
      <c r="AE16" s="288">
        <f>AE14*365</f>
        <v>0</v>
      </c>
      <c r="AF16" s="289">
        <f t="shared" ref="AF16:AF17" si="18">AE16-AD16</f>
        <v>0</v>
      </c>
      <c r="AG16" s="238" t="s">
        <v>229</v>
      </c>
      <c r="AH16" s="288">
        <f>AH14*365</f>
        <v>0</v>
      </c>
      <c r="AI16" s="288">
        <f>AI14*365</f>
        <v>0</v>
      </c>
      <c r="AJ16" s="289">
        <f t="shared" ref="AJ16:AJ17" si="19">AI16-AH16</f>
        <v>0</v>
      </c>
      <c r="AK16" s="238" t="s">
        <v>229</v>
      </c>
      <c r="AL16" s="288">
        <f>AL14*365</f>
        <v>0</v>
      </c>
      <c r="AM16" s="288">
        <f>AM14*365</f>
        <v>0</v>
      </c>
      <c r="AN16" s="289">
        <f t="shared" ref="AN16:AN17" si="20">AM16-AL16</f>
        <v>0</v>
      </c>
      <c r="AO16" s="238" t="s">
        <v>229</v>
      </c>
      <c r="AP16" s="288" t="e">
        <f>AP14*365</f>
        <v>#DIV/0!</v>
      </c>
      <c r="AQ16" s="288" t="e">
        <f>AQ14*365</f>
        <v>#DIV/0!</v>
      </c>
      <c r="AR16" s="289" t="e">
        <f t="shared" ref="AR16:AR17" si="21">AQ16-AP16</f>
        <v>#DIV/0!</v>
      </c>
    </row>
    <row r="17" spans="1:44" ht="13.5" thickBot="1" x14ac:dyDescent="0.25">
      <c r="A17" s="252" t="str">
        <f>"Feed Cost / Year For "&amp;('Current Rations'!C3)&amp;" Rations"</f>
        <v>Feed Cost / Year For  Rations</v>
      </c>
      <c r="B17" s="291">
        <f>B16*'Current Rations'!C27</f>
        <v>0</v>
      </c>
      <c r="C17" s="292">
        <f>C16*'Proposed Rations'!C27</f>
        <v>0</v>
      </c>
      <c r="D17" s="288">
        <f t="shared" si="11"/>
        <v>0</v>
      </c>
      <c r="E17" s="252" t="str">
        <f>"Feed Cost / Year For "&amp;('Current Rations'!D3)&amp;" Rations"</f>
        <v>Feed Cost / Year For  Rations</v>
      </c>
      <c r="F17" s="291">
        <f>F16*'Current Rations'!D27</f>
        <v>0</v>
      </c>
      <c r="G17" s="292">
        <f>G16*'Proposed Rations'!D27</f>
        <v>0</v>
      </c>
      <c r="H17" s="288">
        <f t="shared" si="12"/>
        <v>0</v>
      </c>
      <c r="I17" s="252" t="str">
        <f>"Feed Cost / Year For "&amp;('Current Rations'!E3)&amp;" Rations"</f>
        <v>Feed Cost / Year For  Rations</v>
      </c>
      <c r="J17" s="291">
        <f>J16*'Current Rations'!E27</f>
        <v>0</v>
      </c>
      <c r="K17" s="292">
        <f>K16*'Proposed Rations'!E27</f>
        <v>0</v>
      </c>
      <c r="L17" s="288">
        <f t="shared" si="13"/>
        <v>0</v>
      </c>
      <c r="M17" s="252" t="str">
        <f>"Feed Cost / Year For "&amp;('Current Rations'!F3)&amp;" Rations"</f>
        <v>Feed Cost / Year For  Rations</v>
      </c>
      <c r="N17" s="291">
        <f>N16*'Current Rations'!F27</f>
        <v>0</v>
      </c>
      <c r="O17" s="292">
        <f>O16*'Proposed Rations'!F27</f>
        <v>0</v>
      </c>
      <c r="P17" s="288">
        <f t="shared" si="14"/>
        <v>0</v>
      </c>
      <c r="Q17" s="252" t="str">
        <f>"Feed Cost / Year For "&amp;('Current Rations'!G3)&amp;" Rations"</f>
        <v>Feed Cost / Year For  Rations</v>
      </c>
      <c r="R17" s="291">
        <f>R16*'Current Rations'!G27</f>
        <v>0</v>
      </c>
      <c r="S17" s="292">
        <f>S16*'Proposed Rations'!G27</f>
        <v>0</v>
      </c>
      <c r="T17" s="288">
        <f t="shared" si="15"/>
        <v>0</v>
      </c>
      <c r="U17" s="252" t="str">
        <f>"Feed Cost / Year For "&amp;('Current Rations'!H3)&amp;" Rations"</f>
        <v>Feed Cost / Year For  Rations</v>
      </c>
      <c r="V17" s="291">
        <f>V16*'Current Rations'!H27</f>
        <v>0</v>
      </c>
      <c r="W17" s="292">
        <f>W16*'Proposed Rations'!H27</f>
        <v>0</v>
      </c>
      <c r="X17" s="288">
        <f t="shared" si="16"/>
        <v>0</v>
      </c>
      <c r="Y17" s="252" t="str">
        <f>"Feed Cost / Year For "&amp;('Current Rations'!I3)&amp;" Rations"</f>
        <v>Feed Cost / Year For  Rations</v>
      </c>
      <c r="Z17" s="291">
        <f>Z16*'Current Rations'!I27</f>
        <v>0</v>
      </c>
      <c r="AA17" s="292">
        <f>AA16*'Proposed Rations'!I27</f>
        <v>0</v>
      </c>
      <c r="AB17" s="288">
        <f t="shared" si="17"/>
        <v>0</v>
      </c>
      <c r="AC17" s="252" t="str">
        <f>"Feed Cost / Year For "&amp;('Current Rations'!J3)&amp;" Rations"</f>
        <v>Feed Cost / Year For  Rations</v>
      </c>
      <c r="AD17" s="291">
        <f>AD16*'Current Rations'!J27</f>
        <v>0</v>
      </c>
      <c r="AE17" s="292">
        <f>AE16*'Proposed Rations'!J27</f>
        <v>0</v>
      </c>
      <c r="AF17" s="288">
        <f t="shared" si="18"/>
        <v>0</v>
      </c>
      <c r="AG17" s="252" t="str">
        <f>"Feed Cost / Year For "&amp;('Current Rations'!K3)&amp;" Rations"</f>
        <v>Feed Cost / Year For  Rations</v>
      </c>
      <c r="AH17" s="291">
        <f>AH16*'Current Rations'!K27</f>
        <v>0</v>
      </c>
      <c r="AI17" s="292">
        <f>AI16*'Proposed Rations'!K27</f>
        <v>0</v>
      </c>
      <c r="AJ17" s="288">
        <f t="shared" si="19"/>
        <v>0</v>
      </c>
      <c r="AK17" s="252" t="str">
        <f>"Feed Cost / Year For "&amp;('Current Rations'!L3)&amp;" Rations"</f>
        <v>Feed Cost / Year For  Rations</v>
      </c>
      <c r="AL17" s="291">
        <f>AL16*'Current Rations'!L27</f>
        <v>0</v>
      </c>
      <c r="AM17" s="292">
        <f>AM16*'Proposed Rations'!L27</f>
        <v>0</v>
      </c>
      <c r="AN17" s="288">
        <f t="shared" si="20"/>
        <v>0</v>
      </c>
      <c r="AO17" s="252" t="s">
        <v>237</v>
      </c>
      <c r="AP17" s="291" t="e">
        <f>AP16*'Current Rations'!P53</f>
        <v>#DIV/0!</v>
      </c>
      <c r="AQ17" s="292" t="e">
        <f>AQ16*'Proposed Rations'!P53</f>
        <v>#DIV/0!</v>
      </c>
      <c r="AR17" s="288" t="e">
        <f t="shared" si="21"/>
        <v>#DIV/0!</v>
      </c>
    </row>
    <row r="18" spans="1:44" ht="13.5" thickBot="1" x14ac:dyDescent="0.25">
      <c r="A18" s="345" t="str">
        <f>"Change in Feed Cost / "&amp;'Current Rations'!C3&amp;" Ration  / Year"</f>
        <v>Change in Feed Cost /  Ration  / Year</v>
      </c>
      <c r="B18" s="345"/>
      <c r="C18" s="346"/>
      <c r="D18" s="223">
        <f>D17</f>
        <v>0</v>
      </c>
      <c r="E18" s="345" t="str">
        <f>"Change in Feed Cost / "&amp;'Current Rations'!D3&amp;" Ration  / Year"</f>
        <v>Change in Feed Cost /  Ration  / Year</v>
      </c>
      <c r="F18" s="345"/>
      <c r="G18" s="346"/>
      <c r="H18" s="223">
        <f>H17</f>
        <v>0</v>
      </c>
      <c r="I18" s="345" t="str">
        <f>"Change in Feed Cost / "&amp;'Current Rations'!E3&amp;" Ration  / Year"</f>
        <v>Change in Feed Cost /  Ration  / Year</v>
      </c>
      <c r="J18" s="345"/>
      <c r="K18" s="346"/>
      <c r="L18" s="223">
        <f>L17</f>
        <v>0</v>
      </c>
      <c r="M18" s="345" t="str">
        <f>"Change in Feed Cost / "&amp;'Current Rations'!F3&amp;" Ration  / Year"</f>
        <v>Change in Feed Cost /  Ration  / Year</v>
      </c>
      <c r="N18" s="345"/>
      <c r="O18" s="346"/>
      <c r="P18" s="223">
        <f>P17</f>
        <v>0</v>
      </c>
      <c r="Q18" s="345" t="str">
        <f>"Change in Feed Cost / "&amp;'Current Rations'!G3&amp;" Ration  / Year"</f>
        <v>Change in Feed Cost /  Ration  / Year</v>
      </c>
      <c r="R18" s="345"/>
      <c r="S18" s="346"/>
      <c r="T18" s="223">
        <f>T17</f>
        <v>0</v>
      </c>
      <c r="U18" s="345" t="str">
        <f>"Change in Feed Cost / "&amp;'Current Rations'!H3&amp;" Ration  / Year"</f>
        <v>Change in Feed Cost /  Ration  / Year</v>
      </c>
      <c r="V18" s="345"/>
      <c r="W18" s="346"/>
      <c r="X18" s="223">
        <f>X17</f>
        <v>0</v>
      </c>
      <c r="Y18" s="345" t="str">
        <f>"Change in Feed Cost / "&amp;'Current Rations'!I3&amp;" Ration  / Year"</f>
        <v>Change in Feed Cost /  Ration  / Year</v>
      </c>
      <c r="Z18" s="345"/>
      <c r="AA18" s="346"/>
      <c r="AB18" s="223">
        <f>AB17</f>
        <v>0</v>
      </c>
      <c r="AC18" s="345" t="str">
        <f>"Change in Feed Cost / "&amp;'Current Rations'!J3&amp;" Ration  / Year"</f>
        <v>Change in Feed Cost /  Ration  / Year</v>
      </c>
      <c r="AD18" s="345"/>
      <c r="AE18" s="346"/>
      <c r="AF18" s="223">
        <f>AF17</f>
        <v>0</v>
      </c>
      <c r="AG18" s="345" t="str">
        <f>"Change in Feed Cost / "&amp;'Current Rations'!K3&amp;" Ration  / Year"</f>
        <v>Change in Feed Cost /  Ration  / Year</v>
      </c>
      <c r="AH18" s="345"/>
      <c r="AI18" s="346"/>
      <c r="AJ18" s="223">
        <f>AJ17</f>
        <v>0</v>
      </c>
      <c r="AK18" s="345" t="str">
        <f>"Change in Feed Cost / "&amp;'Current Rations'!L3&amp;" Ration  / Year"</f>
        <v>Change in Feed Cost /  Ration  / Year</v>
      </c>
      <c r="AL18" s="345"/>
      <c r="AM18" s="346"/>
      <c r="AN18" s="223">
        <f>AN17</f>
        <v>0</v>
      </c>
      <c r="AO18" s="345" t="s">
        <v>240</v>
      </c>
      <c r="AP18" s="345"/>
      <c r="AQ18" s="346"/>
      <c r="AR18" s="223" t="e">
        <f>AR17</f>
        <v>#DIV/0!</v>
      </c>
    </row>
    <row r="19" spans="1:44" ht="13.5" thickTop="1" x14ac:dyDescent="0.2">
      <c r="A19" s="253"/>
      <c r="B19" s="254"/>
      <c r="C19" s="255"/>
      <c r="D19" s="256"/>
      <c r="E19" s="253"/>
      <c r="F19" s="254"/>
      <c r="G19" s="255"/>
      <c r="H19" s="256"/>
      <c r="I19" s="253"/>
      <c r="J19" s="254"/>
      <c r="K19" s="255"/>
      <c r="L19" s="256"/>
      <c r="M19" s="253"/>
      <c r="N19" s="254"/>
      <c r="O19" s="255"/>
      <c r="P19" s="256"/>
      <c r="Q19" s="253"/>
      <c r="R19" s="254"/>
      <c r="S19" s="255"/>
      <c r="T19" s="256"/>
      <c r="U19" s="253"/>
      <c r="V19" s="254"/>
      <c r="W19" s="255"/>
      <c r="X19" s="256"/>
      <c r="Y19" s="253"/>
      <c r="Z19" s="254"/>
      <c r="AA19" s="255"/>
      <c r="AB19" s="256"/>
      <c r="AC19" s="253"/>
      <c r="AD19" s="254"/>
      <c r="AE19" s="255"/>
      <c r="AF19" s="256"/>
      <c r="AG19" s="253"/>
      <c r="AH19" s="254"/>
      <c r="AI19" s="255"/>
      <c r="AJ19" s="256"/>
      <c r="AK19" s="253"/>
      <c r="AL19" s="254"/>
      <c r="AM19" s="255"/>
      <c r="AN19" s="256"/>
      <c r="AO19" s="253"/>
      <c r="AP19" s="254"/>
      <c r="AQ19" s="255"/>
      <c r="AR19" s="256"/>
    </row>
    <row r="20" spans="1:44" ht="13.5" thickBot="1" x14ac:dyDescent="0.25">
      <c r="A20" s="246" t="s">
        <v>228</v>
      </c>
      <c r="B20" s="257"/>
      <c r="C20" s="258"/>
      <c r="D20" s="259"/>
      <c r="E20" s="246" t="s">
        <v>228</v>
      </c>
      <c r="F20" s="257"/>
      <c r="G20" s="258"/>
      <c r="H20" s="259"/>
      <c r="I20" s="246" t="s">
        <v>228</v>
      </c>
      <c r="J20" s="257"/>
      <c r="K20" s="258"/>
      <c r="L20" s="259"/>
      <c r="M20" s="246" t="s">
        <v>228</v>
      </c>
      <c r="N20" s="257"/>
      <c r="O20" s="258"/>
      <c r="P20" s="259"/>
      <c r="Q20" s="246" t="s">
        <v>228</v>
      </c>
      <c r="R20" s="257"/>
      <c r="S20" s="258"/>
      <c r="T20" s="259"/>
      <c r="U20" s="246" t="s">
        <v>228</v>
      </c>
      <c r="V20" s="257"/>
      <c r="W20" s="258"/>
      <c r="X20" s="259"/>
      <c r="Y20" s="246" t="s">
        <v>228</v>
      </c>
      <c r="Z20" s="257"/>
      <c r="AA20" s="258"/>
      <c r="AB20" s="259"/>
      <c r="AC20" s="246" t="s">
        <v>228</v>
      </c>
      <c r="AD20" s="257"/>
      <c r="AE20" s="258"/>
      <c r="AF20" s="259"/>
      <c r="AG20" s="246" t="s">
        <v>228</v>
      </c>
      <c r="AH20" s="257"/>
      <c r="AI20" s="258"/>
      <c r="AJ20" s="259"/>
      <c r="AK20" s="246" t="s">
        <v>228</v>
      </c>
      <c r="AL20" s="257"/>
      <c r="AM20" s="258"/>
      <c r="AN20" s="259"/>
      <c r="AO20" s="246" t="s">
        <v>228</v>
      </c>
      <c r="AP20" s="257"/>
      <c r="AQ20" s="258"/>
      <c r="AR20" s="259"/>
    </row>
    <row r="21" spans="1:44" ht="14.25" thickTop="1" thickBot="1" x14ac:dyDescent="0.25">
      <c r="A21" s="260" t="str">
        <f>A8</f>
        <v>Milk Income / Cow / Day</v>
      </c>
      <c r="B21" s="250">
        <f>'Current Rations'!C56</f>
        <v>0</v>
      </c>
      <c r="C21" s="250">
        <f>'Proposed Rations'!C56</f>
        <v>0</v>
      </c>
      <c r="D21" s="250">
        <f t="shared" ref="D21:D24" si="22">C21-B21</f>
        <v>0</v>
      </c>
      <c r="E21" s="260" t="str">
        <f>E8</f>
        <v>Milk Income / Cow / Day</v>
      </c>
      <c r="F21" s="250">
        <f>'Current Rations'!D56</f>
        <v>0</v>
      </c>
      <c r="G21" s="250">
        <f>'Proposed Rations'!D56</f>
        <v>0</v>
      </c>
      <c r="H21" s="250">
        <f t="shared" ref="H21:H24" si="23">G21-F21</f>
        <v>0</v>
      </c>
      <c r="I21" s="260" t="str">
        <f>I8</f>
        <v>Milk Income / Cow / Day</v>
      </c>
      <c r="J21" s="250">
        <f>'Current Rations'!E56</f>
        <v>0</v>
      </c>
      <c r="K21" s="250">
        <f>'Proposed Rations'!E56</f>
        <v>0</v>
      </c>
      <c r="L21" s="250">
        <f t="shared" ref="L21:L24" si="24">K21-J21</f>
        <v>0</v>
      </c>
      <c r="M21" s="260" t="str">
        <f>M8</f>
        <v>Milk Income / Cow / Day</v>
      </c>
      <c r="N21" s="250">
        <f>'Current Rations'!F56</f>
        <v>0</v>
      </c>
      <c r="O21" s="250">
        <f>'Proposed Rations'!F56</f>
        <v>0</v>
      </c>
      <c r="P21" s="250">
        <f t="shared" ref="P21:P24" si="25">O21-N21</f>
        <v>0</v>
      </c>
      <c r="Q21" s="260" t="str">
        <f>Q8</f>
        <v>Milk Income / Cow / Day</v>
      </c>
      <c r="R21" s="250">
        <f>'Current Rations'!G56</f>
        <v>0</v>
      </c>
      <c r="S21" s="250">
        <f>'Proposed Rations'!G56</f>
        <v>0</v>
      </c>
      <c r="T21" s="250">
        <f t="shared" ref="T21:T24" si="26">S21-R21</f>
        <v>0</v>
      </c>
      <c r="U21" s="260" t="str">
        <f>U8</f>
        <v>Milk Income / Cow / Day</v>
      </c>
      <c r="V21" s="250">
        <f>'Current Rations'!H56</f>
        <v>0</v>
      </c>
      <c r="W21" s="250">
        <f>'Proposed Rations'!H56</f>
        <v>0</v>
      </c>
      <c r="X21" s="250">
        <f t="shared" ref="X21:X24" si="27">W21-V21</f>
        <v>0</v>
      </c>
      <c r="Y21" s="260" t="str">
        <f>Y8</f>
        <v>Milk Income / Cow / Day</v>
      </c>
      <c r="Z21" s="250">
        <f>'Current Rations'!I56</f>
        <v>0</v>
      </c>
      <c r="AA21" s="250">
        <f>'Proposed Rations'!I56</f>
        <v>0</v>
      </c>
      <c r="AB21" s="250">
        <f t="shared" ref="AB21:AB24" si="28">AA21-Z21</f>
        <v>0</v>
      </c>
      <c r="AC21" s="260" t="str">
        <f>AC8</f>
        <v>Milk Income / Cow / Day</v>
      </c>
      <c r="AD21" s="250">
        <f>'Current Rations'!J56</f>
        <v>0</v>
      </c>
      <c r="AE21" s="250">
        <f>'Proposed Rations'!J56</f>
        <v>0</v>
      </c>
      <c r="AF21" s="250">
        <f t="shared" ref="AF21:AF24" si="29">AE21-AD21</f>
        <v>0</v>
      </c>
      <c r="AG21" s="260" t="str">
        <f>AG8</f>
        <v>Milk Income / Cow / Day</v>
      </c>
      <c r="AH21" s="250">
        <f>'Current Rations'!K56</f>
        <v>0</v>
      </c>
      <c r="AI21" s="250">
        <f>'Proposed Rations'!K56</f>
        <v>0</v>
      </c>
      <c r="AJ21" s="250">
        <f t="shared" ref="AJ21:AJ24" si="30">AI21-AH21</f>
        <v>0</v>
      </c>
      <c r="AK21" s="260" t="str">
        <f>AK8</f>
        <v>Milk Income / Cow / Day</v>
      </c>
      <c r="AL21" s="250">
        <f>'Current Rations'!L56</f>
        <v>0</v>
      </c>
      <c r="AM21" s="250">
        <f>'Proposed Rations'!L56</f>
        <v>0</v>
      </c>
      <c r="AN21" s="250">
        <f t="shared" ref="AN21:AN24" si="31">AM21-AL21</f>
        <v>0</v>
      </c>
      <c r="AO21" s="260" t="str">
        <f>AO8</f>
        <v>Milk Income / Animal / Day</v>
      </c>
      <c r="AP21" s="250" t="e">
        <f>'Current Rations'!N57</f>
        <v>#DIV/0!</v>
      </c>
      <c r="AQ21" s="250" t="e">
        <f>'Proposed Rations'!N57</f>
        <v>#DIV/0!</v>
      </c>
      <c r="AR21" s="250" t="e">
        <f t="shared" ref="AR21:AR24" si="32">AQ21-AP21</f>
        <v>#DIV/0!</v>
      </c>
    </row>
    <row r="22" spans="1:44" ht="13.5" thickBot="1" x14ac:dyDescent="0.25">
      <c r="A22" s="261" t="str">
        <f>A14</f>
        <v>Feed Cost / Cow / Day</v>
      </c>
      <c r="B22" s="262">
        <f>B14</f>
        <v>0</v>
      </c>
      <c r="C22" s="262">
        <f>C14</f>
        <v>0</v>
      </c>
      <c r="D22" s="242">
        <f t="shared" si="22"/>
        <v>0</v>
      </c>
      <c r="E22" s="261" t="str">
        <f>E14</f>
        <v>Feed Cost / Cow / Day</v>
      </c>
      <c r="F22" s="262">
        <f>F14</f>
        <v>0</v>
      </c>
      <c r="G22" s="262">
        <f>G14</f>
        <v>0</v>
      </c>
      <c r="H22" s="242">
        <f t="shared" si="23"/>
        <v>0</v>
      </c>
      <c r="I22" s="261" t="str">
        <f>I14</f>
        <v>Feed Cost / Cow / Day</v>
      </c>
      <c r="J22" s="262">
        <f>J14</f>
        <v>0</v>
      </c>
      <c r="K22" s="262">
        <f>K14</f>
        <v>0</v>
      </c>
      <c r="L22" s="242">
        <f t="shared" si="24"/>
        <v>0</v>
      </c>
      <c r="M22" s="261" t="str">
        <f>M14</f>
        <v>Feed Cost / Cow / Day</v>
      </c>
      <c r="N22" s="262">
        <f>N14</f>
        <v>0</v>
      </c>
      <c r="O22" s="262">
        <f>O14</f>
        <v>0</v>
      </c>
      <c r="P22" s="242">
        <f t="shared" si="25"/>
        <v>0</v>
      </c>
      <c r="Q22" s="261" t="str">
        <f>Q14</f>
        <v>Feed Cost / Cow / Day</v>
      </c>
      <c r="R22" s="262">
        <f>R14</f>
        <v>0</v>
      </c>
      <c r="S22" s="262">
        <f>S14</f>
        <v>0</v>
      </c>
      <c r="T22" s="242">
        <f t="shared" si="26"/>
        <v>0</v>
      </c>
      <c r="U22" s="261" t="str">
        <f>U14</f>
        <v>Feed Cost / Cow / Day</v>
      </c>
      <c r="V22" s="262">
        <f>V14</f>
        <v>0</v>
      </c>
      <c r="W22" s="262">
        <f>W14</f>
        <v>0</v>
      </c>
      <c r="X22" s="242">
        <f t="shared" si="27"/>
        <v>0</v>
      </c>
      <c r="Y22" s="261" t="str">
        <f>Y14</f>
        <v>Feed Cost / Cow / Day</v>
      </c>
      <c r="Z22" s="262">
        <f>Z14</f>
        <v>0</v>
      </c>
      <c r="AA22" s="262">
        <f>AA14</f>
        <v>0</v>
      </c>
      <c r="AB22" s="242">
        <f t="shared" si="28"/>
        <v>0</v>
      </c>
      <c r="AC22" s="261" t="str">
        <f>AC14</f>
        <v>Feed Cost / Cow / Day</v>
      </c>
      <c r="AD22" s="262">
        <f>AD14</f>
        <v>0</v>
      </c>
      <c r="AE22" s="262">
        <f>AE14</f>
        <v>0</v>
      </c>
      <c r="AF22" s="242">
        <f t="shared" si="29"/>
        <v>0</v>
      </c>
      <c r="AG22" s="261" t="str">
        <f>AG14</f>
        <v>Feed Cost / Cow / Day</v>
      </c>
      <c r="AH22" s="262">
        <f>AH14</f>
        <v>0</v>
      </c>
      <c r="AI22" s="262">
        <f>AI14</f>
        <v>0</v>
      </c>
      <c r="AJ22" s="242">
        <f t="shared" si="30"/>
        <v>0</v>
      </c>
      <c r="AK22" s="261" t="str">
        <f>AK14</f>
        <v>Feed Cost / Cow / Day</v>
      </c>
      <c r="AL22" s="262">
        <f>AL14</f>
        <v>0</v>
      </c>
      <c r="AM22" s="262">
        <f>AM14</f>
        <v>0</v>
      </c>
      <c r="AN22" s="242">
        <f t="shared" si="31"/>
        <v>0</v>
      </c>
      <c r="AO22" s="261" t="str">
        <f>AO14</f>
        <v>Feed Cost / Cow / Day</v>
      </c>
      <c r="AP22" s="262" t="e">
        <f>AP14</f>
        <v>#DIV/0!</v>
      </c>
      <c r="AQ22" s="262" t="e">
        <f>AQ14</f>
        <v>#DIV/0!</v>
      </c>
      <c r="AR22" s="242" t="e">
        <f t="shared" si="32"/>
        <v>#DIV/0!</v>
      </c>
    </row>
    <row r="23" spans="1:44" ht="14.25" thickTop="1" thickBot="1" x14ac:dyDescent="0.25">
      <c r="A23" s="263" t="s">
        <v>231</v>
      </c>
      <c r="B23" s="264">
        <f>B21-B14</f>
        <v>0</v>
      </c>
      <c r="C23" s="265">
        <f>C21-C14</f>
        <v>0</v>
      </c>
      <c r="D23" s="225">
        <f t="shared" si="22"/>
        <v>0</v>
      </c>
      <c r="E23" s="263" t="s">
        <v>231</v>
      </c>
      <c r="F23" s="264">
        <f>F21-F14</f>
        <v>0</v>
      </c>
      <c r="G23" s="265">
        <f>G21-G14</f>
        <v>0</v>
      </c>
      <c r="H23" s="225">
        <f t="shared" si="23"/>
        <v>0</v>
      </c>
      <c r="I23" s="263" t="s">
        <v>231</v>
      </c>
      <c r="J23" s="264">
        <f>J21-J14</f>
        <v>0</v>
      </c>
      <c r="K23" s="265">
        <f>K21-K14</f>
        <v>0</v>
      </c>
      <c r="L23" s="225">
        <f t="shared" si="24"/>
        <v>0</v>
      </c>
      <c r="M23" s="263" t="s">
        <v>231</v>
      </c>
      <c r="N23" s="264">
        <f>N21-N14</f>
        <v>0</v>
      </c>
      <c r="O23" s="265">
        <f>O21-O14</f>
        <v>0</v>
      </c>
      <c r="P23" s="225">
        <f t="shared" si="25"/>
        <v>0</v>
      </c>
      <c r="Q23" s="263" t="s">
        <v>231</v>
      </c>
      <c r="R23" s="264">
        <f>R21-R14</f>
        <v>0</v>
      </c>
      <c r="S23" s="265">
        <f>S21-S14</f>
        <v>0</v>
      </c>
      <c r="T23" s="225">
        <f t="shared" si="26"/>
        <v>0</v>
      </c>
      <c r="U23" s="263" t="s">
        <v>231</v>
      </c>
      <c r="V23" s="264">
        <f>V21-V14</f>
        <v>0</v>
      </c>
      <c r="W23" s="265">
        <f>W21-W14</f>
        <v>0</v>
      </c>
      <c r="X23" s="225">
        <f t="shared" si="27"/>
        <v>0</v>
      </c>
      <c r="Y23" s="263" t="s">
        <v>231</v>
      </c>
      <c r="Z23" s="264">
        <f>Z21-Z14</f>
        <v>0</v>
      </c>
      <c r="AA23" s="265">
        <f>AA21-AA14</f>
        <v>0</v>
      </c>
      <c r="AB23" s="225">
        <f t="shared" si="28"/>
        <v>0</v>
      </c>
      <c r="AC23" s="263" t="s">
        <v>231</v>
      </c>
      <c r="AD23" s="264">
        <f>AD21-AD14</f>
        <v>0</v>
      </c>
      <c r="AE23" s="265">
        <f>AE21-AE14</f>
        <v>0</v>
      </c>
      <c r="AF23" s="225">
        <f t="shared" si="29"/>
        <v>0</v>
      </c>
      <c r="AG23" s="263" t="s">
        <v>231</v>
      </c>
      <c r="AH23" s="264">
        <f>AH21-AH14</f>
        <v>0</v>
      </c>
      <c r="AI23" s="265">
        <f>AI21-AI14</f>
        <v>0</v>
      </c>
      <c r="AJ23" s="225">
        <f t="shared" si="30"/>
        <v>0</v>
      </c>
      <c r="AK23" s="263" t="s">
        <v>231</v>
      </c>
      <c r="AL23" s="264">
        <f>AL21-AL14</f>
        <v>0</v>
      </c>
      <c r="AM23" s="265">
        <f>AM21-AM14</f>
        <v>0</v>
      </c>
      <c r="AN23" s="225">
        <f t="shared" si="31"/>
        <v>0</v>
      </c>
      <c r="AO23" s="263" t="s">
        <v>231</v>
      </c>
      <c r="AP23" s="264" t="e">
        <f>AP21-AP14</f>
        <v>#DIV/0!</v>
      </c>
      <c r="AQ23" s="265" t="e">
        <f>AQ21-AQ14</f>
        <v>#DIV/0!</v>
      </c>
      <c r="AR23" s="225" t="e">
        <f t="shared" si="32"/>
        <v>#DIV/0!</v>
      </c>
    </row>
    <row r="24" spans="1:44" ht="14.25" thickTop="1" thickBot="1" x14ac:dyDescent="0.25">
      <c r="A24" s="89" t="s">
        <v>232</v>
      </c>
      <c r="B24" s="266">
        <f>B23*365</f>
        <v>0</v>
      </c>
      <c r="C24" s="266">
        <f>C23*365</f>
        <v>0</v>
      </c>
      <c r="D24" s="225">
        <f t="shared" si="22"/>
        <v>0</v>
      </c>
      <c r="E24" s="89" t="s">
        <v>232</v>
      </c>
      <c r="F24" s="266">
        <f>F23*365</f>
        <v>0</v>
      </c>
      <c r="G24" s="266">
        <f>G23*365</f>
        <v>0</v>
      </c>
      <c r="H24" s="225">
        <f t="shared" si="23"/>
        <v>0</v>
      </c>
      <c r="I24" s="89" t="s">
        <v>232</v>
      </c>
      <c r="J24" s="266">
        <f>J23*365</f>
        <v>0</v>
      </c>
      <c r="K24" s="266">
        <f>K23*365</f>
        <v>0</v>
      </c>
      <c r="L24" s="225">
        <f t="shared" si="24"/>
        <v>0</v>
      </c>
      <c r="M24" s="89" t="s">
        <v>232</v>
      </c>
      <c r="N24" s="266">
        <f>N23*365</f>
        <v>0</v>
      </c>
      <c r="O24" s="266">
        <f>O23*365</f>
        <v>0</v>
      </c>
      <c r="P24" s="225">
        <f t="shared" si="25"/>
        <v>0</v>
      </c>
      <c r="Q24" s="89" t="s">
        <v>232</v>
      </c>
      <c r="R24" s="266">
        <f>R23*365</f>
        <v>0</v>
      </c>
      <c r="S24" s="266">
        <f>S23*365</f>
        <v>0</v>
      </c>
      <c r="T24" s="225">
        <f t="shared" si="26"/>
        <v>0</v>
      </c>
      <c r="U24" s="89" t="s">
        <v>232</v>
      </c>
      <c r="V24" s="266">
        <f>V23*365</f>
        <v>0</v>
      </c>
      <c r="W24" s="266">
        <f>W23*365</f>
        <v>0</v>
      </c>
      <c r="X24" s="225">
        <f t="shared" si="27"/>
        <v>0</v>
      </c>
      <c r="Y24" s="89" t="s">
        <v>232</v>
      </c>
      <c r="Z24" s="266">
        <f>Z23*365</f>
        <v>0</v>
      </c>
      <c r="AA24" s="266">
        <f>AA23*365</f>
        <v>0</v>
      </c>
      <c r="AB24" s="225">
        <f t="shared" si="28"/>
        <v>0</v>
      </c>
      <c r="AC24" s="89" t="s">
        <v>232</v>
      </c>
      <c r="AD24" s="266">
        <f>AD23*365</f>
        <v>0</v>
      </c>
      <c r="AE24" s="266">
        <f>AE23*365</f>
        <v>0</v>
      </c>
      <c r="AF24" s="225">
        <f t="shared" si="29"/>
        <v>0</v>
      </c>
      <c r="AG24" s="89" t="s">
        <v>232</v>
      </c>
      <c r="AH24" s="266">
        <f>AH23*365</f>
        <v>0</v>
      </c>
      <c r="AI24" s="266">
        <f>AI23*365</f>
        <v>0</v>
      </c>
      <c r="AJ24" s="225">
        <f t="shared" si="30"/>
        <v>0</v>
      </c>
      <c r="AK24" s="89" t="s">
        <v>232</v>
      </c>
      <c r="AL24" s="266">
        <f>AL23*365</f>
        <v>0</v>
      </c>
      <c r="AM24" s="266">
        <f>AM23*365</f>
        <v>0</v>
      </c>
      <c r="AN24" s="225">
        <f t="shared" si="31"/>
        <v>0</v>
      </c>
      <c r="AO24" s="89" t="s">
        <v>232</v>
      </c>
      <c r="AP24" s="266" t="e">
        <f>AP23*365</f>
        <v>#DIV/0!</v>
      </c>
      <c r="AQ24" s="266" t="e">
        <f>AQ23*365</f>
        <v>#DIV/0!</v>
      </c>
      <c r="AR24" s="225" t="e">
        <f t="shared" si="32"/>
        <v>#DIV/0!</v>
      </c>
    </row>
    <row r="25" spans="1:44" ht="14.25" thickTop="1" thickBot="1" x14ac:dyDescent="0.25">
      <c r="D25" s="267"/>
      <c r="H25" s="267"/>
      <c r="L25" s="267"/>
      <c r="P25" s="267"/>
      <c r="T25" s="267"/>
      <c r="X25" s="267"/>
      <c r="AB25" s="267"/>
      <c r="AF25" s="267"/>
      <c r="AJ25" s="267"/>
      <c r="AN25" s="267"/>
      <c r="AR25" s="267"/>
    </row>
    <row r="26" spans="1:44" ht="13.5" thickBot="1" x14ac:dyDescent="0.25">
      <c r="A26" s="333" t="str">
        <f>A10</f>
        <v>Change in Revenue /  Ration / Year</v>
      </c>
      <c r="B26" s="333"/>
      <c r="C26" s="334"/>
      <c r="D26" s="268">
        <f>D10</f>
        <v>0</v>
      </c>
      <c r="E26" s="333" t="str">
        <f>E10</f>
        <v>Change in Revenue /  Ration / Year</v>
      </c>
      <c r="F26" s="333"/>
      <c r="G26" s="334"/>
      <c r="H26" s="268">
        <f>H10</f>
        <v>0</v>
      </c>
      <c r="I26" s="333" t="str">
        <f>I10</f>
        <v>Change in Revenue /  Ration / Year</v>
      </c>
      <c r="J26" s="333"/>
      <c r="K26" s="334"/>
      <c r="L26" s="268">
        <f>L10</f>
        <v>0</v>
      </c>
      <c r="M26" s="333" t="str">
        <f>M10</f>
        <v>Change in Revenue /  Ration / Year</v>
      </c>
      <c r="N26" s="333"/>
      <c r="O26" s="334"/>
      <c r="P26" s="268">
        <f>P10</f>
        <v>0</v>
      </c>
      <c r="Q26" s="333" t="str">
        <f>Q10</f>
        <v>Change in Revenue /  Ration / Year</v>
      </c>
      <c r="R26" s="333"/>
      <c r="S26" s="334"/>
      <c r="T26" s="268">
        <f>T10</f>
        <v>0</v>
      </c>
      <c r="U26" s="333" t="str">
        <f>U10</f>
        <v>Change in Revenue /  Ration / Year</v>
      </c>
      <c r="V26" s="333"/>
      <c r="W26" s="334"/>
      <c r="X26" s="268">
        <f>X10</f>
        <v>0</v>
      </c>
      <c r="Y26" s="333" t="str">
        <f>Y10</f>
        <v>Change in Revenue /  Ration / Year</v>
      </c>
      <c r="Z26" s="333"/>
      <c r="AA26" s="334"/>
      <c r="AB26" s="268">
        <f>AB10</f>
        <v>0</v>
      </c>
      <c r="AC26" s="333" t="str">
        <f>AC10</f>
        <v>Change in Revenue /  Ration / Year</v>
      </c>
      <c r="AD26" s="333"/>
      <c r="AE26" s="334"/>
      <c r="AF26" s="268">
        <f>AF10</f>
        <v>0</v>
      </c>
      <c r="AG26" s="333" t="str">
        <f>AG10</f>
        <v>Change in Revenue /  Ration / Year</v>
      </c>
      <c r="AH26" s="333"/>
      <c r="AI26" s="334"/>
      <c r="AJ26" s="268">
        <f>AJ10</f>
        <v>0</v>
      </c>
      <c r="AK26" s="333" t="str">
        <f>AK10</f>
        <v>Change in Revenue /  Ration / Year</v>
      </c>
      <c r="AL26" s="333"/>
      <c r="AM26" s="334"/>
      <c r="AN26" s="268">
        <f>AN10</f>
        <v>0</v>
      </c>
      <c r="AO26" s="333" t="str">
        <f>AO10</f>
        <v>Change in Revenue ALL Rations / Year</v>
      </c>
      <c r="AP26" s="333"/>
      <c r="AQ26" s="334"/>
      <c r="AR26" s="268">
        <f>AR10</f>
        <v>0</v>
      </c>
    </row>
    <row r="27" spans="1:44" ht="13.5" thickBot="1" x14ac:dyDescent="0.25">
      <c r="A27" s="335" t="str">
        <f>A18</f>
        <v>Change in Feed Cost /  Ration  / Year</v>
      </c>
      <c r="B27" s="335"/>
      <c r="C27" s="336"/>
      <c r="D27" s="269">
        <f>D18</f>
        <v>0</v>
      </c>
      <c r="E27" s="335" t="str">
        <f>E18</f>
        <v>Change in Feed Cost /  Ration  / Year</v>
      </c>
      <c r="F27" s="335"/>
      <c r="G27" s="336"/>
      <c r="H27" s="269">
        <f>H18</f>
        <v>0</v>
      </c>
      <c r="I27" s="335" t="str">
        <f>I18</f>
        <v>Change in Feed Cost /  Ration  / Year</v>
      </c>
      <c r="J27" s="335"/>
      <c r="K27" s="336"/>
      <c r="L27" s="269">
        <f>L18</f>
        <v>0</v>
      </c>
      <c r="M27" s="335" t="str">
        <f>M18</f>
        <v>Change in Feed Cost /  Ration  / Year</v>
      </c>
      <c r="N27" s="335"/>
      <c r="O27" s="336"/>
      <c r="P27" s="269">
        <f>P18</f>
        <v>0</v>
      </c>
      <c r="Q27" s="335" t="str">
        <f>Q18</f>
        <v>Change in Feed Cost /  Ration  / Year</v>
      </c>
      <c r="R27" s="335"/>
      <c r="S27" s="336"/>
      <c r="T27" s="269">
        <f>T18</f>
        <v>0</v>
      </c>
      <c r="U27" s="335" t="str">
        <f>U18</f>
        <v>Change in Feed Cost /  Ration  / Year</v>
      </c>
      <c r="V27" s="335"/>
      <c r="W27" s="336"/>
      <c r="X27" s="269">
        <f>X18</f>
        <v>0</v>
      </c>
      <c r="Y27" s="335" t="str">
        <f>Y18</f>
        <v>Change in Feed Cost /  Ration  / Year</v>
      </c>
      <c r="Z27" s="335"/>
      <c r="AA27" s="336"/>
      <c r="AB27" s="269">
        <f>AB18</f>
        <v>0</v>
      </c>
      <c r="AC27" s="335" t="str">
        <f>AC18</f>
        <v>Change in Feed Cost /  Ration  / Year</v>
      </c>
      <c r="AD27" s="335"/>
      <c r="AE27" s="336"/>
      <c r="AF27" s="269">
        <f>AF18</f>
        <v>0</v>
      </c>
      <c r="AG27" s="335" t="str">
        <f>AG18</f>
        <v>Change in Feed Cost /  Ration  / Year</v>
      </c>
      <c r="AH27" s="335"/>
      <c r="AI27" s="336"/>
      <c r="AJ27" s="269">
        <f>AJ18</f>
        <v>0</v>
      </c>
      <c r="AK27" s="335" t="str">
        <f>AK18</f>
        <v>Change in Feed Cost /  Ration  / Year</v>
      </c>
      <c r="AL27" s="335"/>
      <c r="AM27" s="336"/>
      <c r="AN27" s="269">
        <f>AN18</f>
        <v>0</v>
      </c>
      <c r="AO27" s="335" t="str">
        <f>AO18</f>
        <v>Change in Feed Cost ALL Rations  / Year</v>
      </c>
      <c r="AP27" s="335"/>
      <c r="AQ27" s="336"/>
      <c r="AR27" s="269" t="e">
        <f>AR18</f>
        <v>#DIV/0!</v>
      </c>
    </row>
    <row r="28" spans="1:44" ht="14.25" thickTop="1" thickBot="1" x14ac:dyDescent="0.25">
      <c r="A28" s="337" t="str">
        <f>"Change in Profit / "&amp;'Current Rations'!C3&amp;" Ration  / Year"</f>
        <v>Change in Profit /  Ration  / Year</v>
      </c>
      <c r="B28" s="337"/>
      <c r="C28" s="338"/>
      <c r="D28" s="224">
        <f>D26-D27</f>
        <v>0</v>
      </c>
      <c r="E28" s="337" t="str">
        <f>"Change in Profit / "&amp;'Current Rations'!D3&amp;" Ration  / Year"</f>
        <v>Change in Profit /  Ration  / Year</v>
      </c>
      <c r="F28" s="337"/>
      <c r="G28" s="338"/>
      <c r="H28" s="224">
        <f>H26-H27</f>
        <v>0</v>
      </c>
      <c r="I28" s="337" t="str">
        <f>"Change in Profit / "&amp;'Current Rations'!E3&amp;" Ration  / Year"</f>
        <v>Change in Profit /  Ration  / Year</v>
      </c>
      <c r="J28" s="337"/>
      <c r="K28" s="338"/>
      <c r="L28" s="224">
        <f>L26-L27</f>
        <v>0</v>
      </c>
      <c r="M28" s="337" t="str">
        <f>"Change in Profit / "&amp;'Current Rations'!F3&amp;" Ration  / Year"</f>
        <v>Change in Profit /  Ration  / Year</v>
      </c>
      <c r="N28" s="337"/>
      <c r="O28" s="338"/>
      <c r="P28" s="224">
        <f>P26-P27</f>
        <v>0</v>
      </c>
      <c r="Q28" s="337" t="str">
        <f>"Change in Profit / "&amp;'Current Rations'!G3&amp;" Ration  / Year"</f>
        <v>Change in Profit /  Ration  / Year</v>
      </c>
      <c r="R28" s="337"/>
      <c r="S28" s="338"/>
      <c r="T28" s="224">
        <f>T26-T27</f>
        <v>0</v>
      </c>
      <c r="U28" s="337" t="str">
        <f>"Change in Profit / "&amp;'Current Rations'!H3&amp;" Ration  / Year"</f>
        <v>Change in Profit /  Ration  / Year</v>
      </c>
      <c r="V28" s="337"/>
      <c r="W28" s="338"/>
      <c r="X28" s="224">
        <f>X26-X27</f>
        <v>0</v>
      </c>
      <c r="Y28" s="337" t="str">
        <f>"Change in Profit / "&amp;'Current Rations'!I3&amp;" Ration  / Year"</f>
        <v>Change in Profit /  Ration  / Year</v>
      </c>
      <c r="Z28" s="337"/>
      <c r="AA28" s="338"/>
      <c r="AB28" s="224">
        <f>AB26-AB27</f>
        <v>0</v>
      </c>
      <c r="AC28" s="337" t="str">
        <f>"Change in Profit / "&amp;'Current Rations'!J3&amp;" Ration  / Year"</f>
        <v>Change in Profit /  Ration  / Year</v>
      </c>
      <c r="AD28" s="337"/>
      <c r="AE28" s="338"/>
      <c r="AF28" s="224">
        <f>AF26-AF27</f>
        <v>0</v>
      </c>
      <c r="AG28" s="337" t="str">
        <f>"Change in Profit / "&amp;'Current Rations'!K3&amp;" Ration  / Year"</f>
        <v>Change in Profit /  Ration  / Year</v>
      </c>
      <c r="AH28" s="337"/>
      <c r="AI28" s="338"/>
      <c r="AJ28" s="224">
        <f>AJ26-AJ27</f>
        <v>0</v>
      </c>
      <c r="AK28" s="337" t="str">
        <f>"Change in Profit / "&amp;'Current Rations'!L3&amp;" Ration  / Year"</f>
        <v>Change in Profit /  Ration  / Year</v>
      </c>
      <c r="AL28" s="337"/>
      <c r="AM28" s="338"/>
      <c r="AN28" s="224">
        <f>AN26-AN27</f>
        <v>0</v>
      </c>
      <c r="AO28" s="337" t="s">
        <v>241</v>
      </c>
      <c r="AP28" s="337"/>
      <c r="AQ28" s="338"/>
      <c r="AR28" s="224" t="e">
        <f>AR26-AR27</f>
        <v>#DIV/0!</v>
      </c>
    </row>
    <row r="29" spans="1:44" x14ac:dyDescent="0.2">
      <c r="D29" s="270"/>
      <c r="H29" s="270"/>
      <c r="L29" s="270"/>
      <c r="P29" s="270"/>
      <c r="T29" s="270"/>
      <c r="X29" s="270"/>
      <c r="AB29" s="270"/>
      <c r="AF29" s="270"/>
      <c r="AJ29" s="270"/>
      <c r="AN29" s="270"/>
      <c r="AR29" s="270"/>
    </row>
    <row r="31" spans="1:44" x14ac:dyDescent="0.2">
      <c r="A31" s="339" t="str">
        <f>"Change in Inventory Usage (DM tons) for Current and Proposed "&amp;('Current Rations'!C3)&amp;" Rations"</f>
        <v>Change in Inventory Usage (DM tons) for Current and Proposed  Rations</v>
      </c>
      <c r="B31" s="339"/>
      <c r="C31" s="339"/>
      <c r="D31" s="339"/>
      <c r="E31" s="339" t="str">
        <f>"Change in Inventory Usage (DM tons) for Current and Proposed "&amp;('Current Rations'!D3)&amp;" Rations"</f>
        <v>Change in Inventory Usage (DM tons) for Current and Proposed  Rations</v>
      </c>
      <c r="F31" s="339"/>
      <c r="G31" s="339"/>
      <c r="H31" s="339"/>
      <c r="I31" s="339" t="str">
        <f>"Change in Inventory Usage (DM tons) for Current and Proposed "&amp;('Current Rations'!E3)&amp;" Rations"</f>
        <v>Change in Inventory Usage (DM tons) for Current and Proposed  Rations</v>
      </c>
      <c r="J31" s="339"/>
      <c r="K31" s="339"/>
      <c r="L31" s="339"/>
      <c r="M31" s="339" t="str">
        <f>"Change in Inventory Usage (DM tons) for Current and Proposed "&amp;('Current Rations'!F3)&amp;" Rations"</f>
        <v>Change in Inventory Usage (DM tons) for Current and Proposed  Rations</v>
      </c>
      <c r="N31" s="339"/>
      <c r="O31" s="339"/>
      <c r="P31" s="339"/>
      <c r="Q31" s="339" t="str">
        <f>"Change in Inventory Usage (DM tons) for Current and Proposed "&amp;('Current Rations'!G3)&amp;" Rations"</f>
        <v>Change in Inventory Usage (DM tons) for Current and Proposed  Rations</v>
      </c>
      <c r="R31" s="339"/>
      <c r="S31" s="339"/>
      <c r="T31" s="339"/>
      <c r="U31" s="339" t="str">
        <f>"Change in Inventory Usage (DM tons) for Current and Proposed "&amp;('Current Rations'!H3)&amp;" Rations"</f>
        <v>Change in Inventory Usage (DM tons) for Current and Proposed  Rations</v>
      </c>
      <c r="V31" s="339"/>
      <c r="W31" s="339"/>
      <c r="X31" s="339"/>
      <c r="Y31" s="339" t="str">
        <f>"Change in Inventory Usage (DM tons) for Current and Proposed "&amp;('Current Rations'!I3)&amp;" Rations"</f>
        <v>Change in Inventory Usage (DM tons) for Current and Proposed  Rations</v>
      </c>
      <c r="Z31" s="339"/>
      <c r="AA31" s="339"/>
      <c r="AB31" s="339"/>
      <c r="AC31" s="339" t="str">
        <f>"Change in Inventory Usage (DM tons) for Current and Proposed "&amp;('Current Rations'!J3)&amp;" Rations"</f>
        <v>Change in Inventory Usage (DM tons) for Current and Proposed  Rations</v>
      </c>
      <c r="AD31" s="339"/>
      <c r="AE31" s="339"/>
      <c r="AF31" s="339"/>
      <c r="AG31" s="339" t="str">
        <f>"Change in Inventory Usage (DM tons) for Current and Proposed "&amp;('Current Rations'!K3)&amp;" Rations"</f>
        <v>Change in Inventory Usage (DM tons) for Current and Proposed  Rations</v>
      </c>
      <c r="AH31" s="339"/>
      <c r="AI31" s="339"/>
      <c r="AJ31" s="339"/>
      <c r="AK31" s="339" t="str">
        <f>"Change in Inventory Usage (DM tons) for Current and Proposed "&amp;('Current Rations'!L3)&amp;" Rations"</f>
        <v>Change in Inventory Usage (DM tons) for Current and Proposed  Rations</v>
      </c>
      <c r="AL31" s="339"/>
      <c r="AM31" s="339"/>
      <c r="AN31" s="339"/>
      <c r="AO31" s="339" t="str">
        <f>"Change in Inventory Usage (DM tons) for Current and Proposed "&amp;('Current Rations'!AQ3)&amp;" Rations"</f>
        <v>Change in Inventory Usage (DM tons) for Current and Proposed  Rations</v>
      </c>
      <c r="AP31" s="339"/>
      <c r="AQ31" s="339"/>
      <c r="AR31" s="339"/>
    </row>
    <row r="32" spans="1:44" x14ac:dyDescent="0.2">
      <c r="A32" s="16" t="s">
        <v>0</v>
      </c>
      <c r="B32" s="1" t="s">
        <v>227</v>
      </c>
      <c r="C32" s="1" t="s">
        <v>222</v>
      </c>
      <c r="D32" s="1" t="s">
        <v>211</v>
      </c>
      <c r="E32" s="16" t="s">
        <v>0</v>
      </c>
      <c r="F32" s="1" t="s">
        <v>227</v>
      </c>
      <c r="G32" s="1" t="s">
        <v>222</v>
      </c>
      <c r="H32" s="1" t="s">
        <v>211</v>
      </c>
      <c r="I32" s="16" t="s">
        <v>0</v>
      </c>
      <c r="J32" s="1" t="s">
        <v>227</v>
      </c>
      <c r="K32" s="1" t="s">
        <v>222</v>
      </c>
      <c r="L32" s="1" t="s">
        <v>211</v>
      </c>
      <c r="M32" s="16" t="s">
        <v>0</v>
      </c>
      <c r="N32" s="1" t="s">
        <v>227</v>
      </c>
      <c r="O32" s="1" t="s">
        <v>222</v>
      </c>
      <c r="P32" s="1" t="s">
        <v>211</v>
      </c>
      <c r="Q32" s="16" t="s">
        <v>0</v>
      </c>
      <c r="R32" s="1" t="s">
        <v>227</v>
      </c>
      <c r="S32" s="1" t="s">
        <v>222</v>
      </c>
      <c r="T32" s="1" t="s">
        <v>211</v>
      </c>
      <c r="U32" s="16" t="s">
        <v>0</v>
      </c>
      <c r="V32" s="1" t="s">
        <v>227</v>
      </c>
      <c r="W32" s="1" t="s">
        <v>222</v>
      </c>
      <c r="X32" s="1" t="s">
        <v>211</v>
      </c>
      <c r="Y32" s="16" t="s">
        <v>0</v>
      </c>
      <c r="Z32" s="1" t="s">
        <v>227</v>
      </c>
      <c r="AA32" s="1" t="s">
        <v>222</v>
      </c>
      <c r="AB32" s="1" t="s">
        <v>211</v>
      </c>
      <c r="AC32" s="16" t="s">
        <v>0</v>
      </c>
      <c r="AD32" s="1" t="s">
        <v>227</v>
      </c>
      <c r="AE32" s="1" t="s">
        <v>222</v>
      </c>
      <c r="AF32" s="1" t="s">
        <v>211</v>
      </c>
      <c r="AG32" s="16" t="s">
        <v>0</v>
      </c>
      <c r="AH32" s="1" t="s">
        <v>227</v>
      </c>
      <c r="AI32" s="1" t="s">
        <v>222</v>
      </c>
      <c r="AJ32" s="1" t="s">
        <v>211</v>
      </c>
      <c r="AK32" s="16" t="s">
        <v>0</v>
      </c>
      <c r="AL32" s="1" t="s">
        <v>227</v>
      </c>
      <c r="AM32" s="1" t="s">
        <v>222</v>
      </c>
      <c r="AN32" s="1" t="s">
        <v>211</v>
      </c>
      <c r="AO32" s="16" t="s">
        <v>0</v>
      </c>
      <c r="AP32" s="1" t="s">
        <v>227</v>
      </c>
      <c r="AQ32" s="1" t="s">
        <v>222</v>
      </c>
      <c r="AR32" s="1" t="s">
        <v>211</v>
      </c>
    </row>
    <row r="33" spans="1:44" x14ac:dyDescent="0.2">
      <c r="A33" s="18" t="str">
        <f>'Proposed Rations'!B4</f>
        <v/>
      </c>
      <c r="B33" s="271">
        <f>IF('Current Rations'!C4*'Current Rations'!C$27*365/2000&gt;0, 'Current Rations'!C4*'Current Rations'!C$27*365/2000, 0)</f>
        <v>0</v>
      </c>
      <c r="C33" s="271">
        <f>IF('Proposed Rations'!C4*'Proposed Rations'!C$27*365/2000&gt;0, 'Proposed Rations'!C4*'Proposed Rations'!C$27*365/2000, 0)</f>
        <v>0</v>
      </c>
      <c r="D33" s="271">
        <f>IF(C33="","", C33-B33)</f>
        <v>0</v>
      </c>
      <c r="E33" s="18" t="str">
        <f>A33</f>
        <v/>
      </c>
      <c r="F33" s="271">
        <f>IF('Current Rations'!D4*'Current Rations'!D$27*365/2000&gt;0, 'Current Rations'!D4*'Current Rations'!D$27*365/2000, 0)</f>
        <v>0</v>
      </c>
      <c r="G33" s="271">
        <f>IF('Proposed Rations'!D4*'Proposed Rations'!D$27*365/2000&gt;0, 'Proposed Rations'!D4*'Proposed Rations'!D$27*365/2000, 0)</f>
        <v>0</v>
      </c>
      <c r="H33" s="271">
        <f>IF(G33="","", G33-F33)</f>
        <v>0</v>
      </c>
      <c r="I33" s="18" t="str">
        <f>E33</f>
        <v/>
      </c>
      <c r="J33" s="271">
        <f>IF('Current Rations'!E4*'Current Rations'!E$27*365/2000&gt;0, 'Current Rations'!E4*'Current Rations'!E$27*365/2000, 0)</f>
        <v>0</v>
      </c>
      <c r="K33" s="271">
        <f>IF('Proposed Rations'!E4*'Proposed Rations'!E$27*365/2000&gt;0, 'Proposed Rations'!E4*'Proposed Rations'!E$27*365/2000, 0)</f>
        <v>0</v>
      </c>
      <c r="L33" s="271">
        <f>IF(K33="","", K33-J33)</f>
        <v>0</v>
      </c>
      <c r="M33" s="18" t="str">
        <f>I33</f>
        <v/>
      </c>
      <c r="N33" s="271">
        <f>IF('Current Rations'!F4*'Current Rations'!F$27*365/2000&gt;0, 'Current Rations'!F4*'Current Rations'!F$27*365/2000, 0)</f>
        <v>0</v>
      </c>
      <c r="O33" s="271">
        <f>IF('Proposed Rations'!F4*'Proposed Rations'!F$27*365/2000&gt;0, 'Proposed Rations'!F4*'Proposed Rations'!F$27*365/2000, 0)</f>
        <v>0</v>
      </c>
      <c r="P33" s="271">
        <f>IF(O33="","", O33-N33)</f>
        <v>0</v>
      </c>
      <c r="Q33" s="18" t="str">
        <f>M33</f>
        <v/>
      </c>
      <c r="R33" s="271">
        <f>IF('Current Rations'!G4*'Current Rations'!G$27*365/2000&gt;0, 'Current Rations'!G4*'Current Rations'!G$27*365/2000, 0)</f>
        <v>0</v>
      </c>
      <c r="S33" s="271">
        <f>IF('Proposed Rations'!G4*'Proposed Rations'!G$27*365/2000&gt;0, 'Proposed Rations'!G4*'Proposed Rations'!G$27*365/2000, 0)</f>
        <v>0</v>
      </c>
      <c r="T33" s="271">
        <f>IF(S33="","", S33-R33)</f>
        <v>0</v>
      </c>
      <c r="U33" s="18" t="str">
        <f>Q33</f>
        <v/>
      </c>
      <c r="V33" s="271">
        <f>IF('Current Rations'!H4*'Current Rations'!H$27*365/2000&gt;0, 'Current Rations'!H4*'Current Rations'!H$27*365/2000, 0)</f>
        <v>0</v>
      </c>
      <c r="W33" s="271">
        <f>IF('Proposed Rations'!H4*'Proposed Rations'!H$27*365/2000&gt;0, 'Proposed Rations'!H4*'Proposed Rations'!H$27*365/2000, 0)</f>
        <v>0</v>
      </c>
      <c r="X33" s="271">
        <f>IF(W33="","", W33-V33)</f>
        <v>0</v>
      </c>
      <c r="Y33" s="18" t="str">
        <f>U33</f>
        <v/>
      </c>
      <c r="Z33" s="271">
        <f>IF('Current Rations'!I4*'Current Rations'!I$27*365/2000&gt;0, 'Current Rations'!I4*'Current Rations'!I$27*365/2000, 0)</f>
        <v>0</v>
      </c>
      <c r="AA33" s="271">
        <f>IF('Proposed Rations'!I4*'Proposed Rations'!I$27*365/2000&gt;0, 'Proposed Rations'!I4*'Proposed Rations'!I$27*365/2000, 0)</f>
        <v>0</v>
      </c>
      <c r="AB33" s="271">
        <f>IF(AA33="","", AA33-Z33)</f>
        <v>0</v>
      </c>
      <c r="AC33" s="18" t="str">
        <f>Y33</f>
        <v/>
      </c>
      <c r="AD33" s="271">
        <f>IF('Current Rations'!J4*'Current Rations'!J$27*365/2000&gt;0, 'Current Rations'!J4*'Current Rations'!J$27*365/2000, 0)</f>
        <v>0</v>
      </c>
      <c r="AE33" s="271">
        <f>IF('Proposed Rations'!J4*'Proposed Rations'!J$27*365/2000&gt;0, 'Proposed Rations'!J4*'Proposed Rations'!J$27*365/2000, 0)</f>
        <v>0</v>
      </c>
      <c r="AF33" s="271">
        <f>IF(AE33="","", AE33-AD33)</f>
        <v>0</v>
      </c>
      <c r="AG33" s="18" t="str">
        <f>AC33</f>
        <v/>
      </c>
      <c r="AH33" s="271">
        <f>IF('Current Rations'!K4*'Current Rations'!K$27*365/2000&gt;0, 'Current Rations'!K4*'Current Rations'!K$27*365/2000, 0)</f>
        <v>0</v>
      </c>
      <c r="AI33" s="271">
        <f>IF('Proposed Rations'!K4*'Proposed Rations'!K$27*365/2000&gt;0, 'Proposed Rations'!K4*'Proposed Rations'!K$27*365/2000, 0)</f>
        <v>0</v>
      </c>
      <c r="AJ33" s="271">
        <f>IF(AI33="","", AI33-AH33)</f>
        <v>0</v>
      </c>
      <c r="AK33" s="18" t="str">
        <f>AG33</f>
        <v/>
      </c>
      <c r="AL33" s="271">
        <f>IF('Current Rations'!L4*'Current Rations'!L$27*365/2000&gt;0, 'Current Rations'!L4*'Current Rations'!L$27*365/2000, 0)</f>
        <v>0</v>
      </c>
      <c r="AM33" s="271">
        <f>IF('Proposed Rations'!L4*'Proposed Rations'!L$27*365/2000&gt;0, 'Proposed Rations'!L4*'Proposed Rations'!L$27*365/2000, 0)</f>
        <v>0</v>
      </c>
      <c r="AN33" s="271">
        <f>IF(AM33="","", AM33-AL33)</f>
        <v>0</v>
      </c>
      <c r="AO33" s="18" t="str">
        <f>AK33</f>
        <v/>
      </c>
      <c r="AP33" s="271" t="str">
        <f>IF(SUMPRODUCT('Current Rations'!C4:L4,'Current Rations'!C$27:L$27)*365/2000&gt;0,SUMPRODUCT('Current Rations'!C4:L4,'Current Rations'!C$27:L$27)*365/2000, "")</f>
        <v/>
      </c>
      <c r="AQ33" s="271" t="str">
        <f>IF(SUMPRODUCT('Proposed Rations'!C4:L4,'Proposed Rations'!C$27:L$27)*365/2000&gt;0,SUMPRODUCT('Proposed Rations'!C4:L4,'Proposed Rations'!C$27:L$27)*365/2000,"")</f>
        <v/>
      </c>
      <c r="AR33" s="271" t="str">
        <f>IF(AQ33="","", AQ33-AP33)</f>
        <v/>
      </c>
    </row>
    <row r="34" spans="1:44" x14ac:dyDescent="0.2">
      <c r="A34" s="18" t="str">
        <f>'Proposed Rations'!B5</f>
        <v/>
      </c>
      <c r="B34" s="271">
        <f>IF('Current Rations'!C5*'Current Rations'!C$27*365/2000&gt;0, 'Current Rations'!C5*'Current Rations'!C$27*365/2000, 0)</f>
        <v>0</v>
      </c>
      <c r="C34" s="271">
        <f>IF('Proposed Rations'!C5*'Proposed Rations'!C$27*365/2000&gt;0, 'Proposed Rations'!C5*'Proposed Rations'!C$27*365/2000, 0)</f>
        <v>0</v>
      </c>
      <c r="D34" s="271">
        <f t="shared" ref="D34:D52" si="33">IF(C34="","", C34-B34)</f>
        <v>0</v>
      </c>
      <c r="E34" s="18" t="str">
        <f t="shared" ref="E34:E52" si="34">A34</f>
        <v/>
      </c>
      <c r="F34" s="271">
        <f>IF('Current Rations'!D5*'Current Rations'!D$27*365/2000&gt;0, 'Current Rations'!D5*'Current Rations'!D$27*365/2000, 0)</f>
        <v>0</v>
      </c>
      <c r="G34" s="271">
        <f>IF('Proposed Rations'!D5*'Proposed Rations'!D$27*365/2000&gt;0, 'Proposed Rations'!D5*'Proposed Rations'!D$27*365/2000, 0)</f>
        <v>0</v>
      </c>
      <c r="H34" s="271">
        <f t="shared" ref="H34:H52" si="35">IF(G34="","", G34-F34)</f>
        <v>0</v>
      </c>
      <c r="I34" s="18" t="str">
        <f t="shared" ref="I34:I52" si="36">E34</f>
        <v/>
      </c>
      <c r="J34" s="271">
        <f>IF('Current Rations'!E5*'Current Rations'!E$27*365/2000&gt;0, 'Current Rations'!E5*'Current Rations'!E$27*365/2000, 0)</f>
        <v>0</v>
      </c>
      <c r="K34" s="271">
        <f>IF('Proposed Rations'!E5*'Proposed Rations'!E$27*365/2000&gt;0, 'Proposed Rations'!E5*'Proposed Rations'!E$27*365/2000, 0)</f>
        <v>0</v>
      </c>
      <c r="L34" s="271">
        <f t="shared" ref="L34:L52" si="37">IF(K34="","", K34-J34)</f>
        <v>0</v>
      </c>
      <c r="M34" s="18" t="str">
        <f t="shared" ref="M34:M52" si="38">I34</f>
        <v/>
      </c>
      <c r="N34" s="271">
        <f>IF('Current Rations'!F5*'Current Rations'!F$27*365/2000&gt;0, 'Current Rations'!F5*'Current Rations'!F$27*365/2000, 0)</f>
        <v>0</v>
      </c>
      <c r="O34" s="271">
        <f>IF('Proposed Rations'!F5*'Proposed Rations'!F$27*365/2000&gt;0, 'Proposed Rations'!F5*'Proposed Rations'!F$27*365/2000, 0)</f>
        <v>0</v>
      </c>
      <c r="P34" s="271">
        <f t="shared" ref="P34:P52" si="39">IF(O34="","", O34-N34)</f>
        <v>0</v>
      </c>
      <c r="Q34" s="18" t="str">
        <f t="shared" ref="Q34:Q52" si="40">M34</f>
        <v/>
      </c>
      <c r="R34" s="271">
        <f>IF('Current Rations'!G5*'Current Rations'!G$27*365/2000&gt;0, 'Current Rations'!G5*'Current Rations'!G$27*365/2000, 0)</f>
        <v>0</v>
      </c>
      <c r="S34" s="271">
        <f>IF('Proposed Rations'!G5*'Proposed Rations'!G$27*365/2000&gt;0, 'Proposed Rations'!G5*'Proposed Rations'!G$27*365/2000, 0)</f>
        <v>0</v>
      </c>
      <c r="T34" s="271">
        <f t="shared" ref="T34:T52" si="41">IF(S34="","", S34-R34)</f>
        <v>0</v>
      </c>
      <c r="U34" s="18" t="str">
        <f t="shared" ref="U34:U52" si="42">Q34</f>
        <v/>
      </c>
      <c r="V34" s="271">
        <f>IF('Current Rations'!H5*'Current Rations'!H$27*365/2000&gt;0, 'Current Rations'!H5*'Current Rations'!H$27*365/2000, 0)</f>
        <v>0</v>
      </c>
      <c r="W34" s="271">
        <f>IF('Proposed Rations'!H5*'Proposed Rations'!H$27*365/2000&gt;0, 'Proposed Rations'!H5*'Proposed Rations'!H$27*365/2000, 0)</f>
        <v>0</v>
      </c>
      <c r="X34" s="271">
        <f t="shared" ref="X34:X52" si="43">IF(W34="","", W34-V34)</f>
        <v>0</v>
      </c>
      <c r="Y34" s="18" t="str">
        <f t="shared" ref="Y34:Y52" si="44">U34</f>
        <v/>
      </c>
      <c r="Z34" s="271">
        <f>IF('Current Rations'!I5*'Current Rations'!I$27*365/2000&gt;0, 'Current Rations'!I5*'Current Rations'!I$27*365/2000, 0)</f>
        <v>0</v>
      </c>
      <c r="AA34" s="271">
        <f>IF('Proposed Rations'!I5*'Proposed Rations'!I$27*365/2000&gt;0, 'Proposed Rations'!I5*'Proposed Rations'!I$27*365/2000, 0)</f>
        <v>0</v>
      </c>
      <c r="AB34" s="271">
        <f t="shared" ref="AB34:AB52" si="45">IF(AA34="","", AA34-Z34)</f>
        <v>0</v>
      </c>
      <c r="AC34" s="18" t="str">
        <f t="shared" ref="AC34:AC52" si="46">Y34</f>
        <v/>
      </c>
      <c r="AD34" s="271">
        <f>IF('Current Rations'!J5*'Current Rations'!J$27*365/2000&gt;0, 'Current Rations'!J5*'Current Rations'!J$27*365/2000, 0)</f>
        <v>0</v>
      </c>
      <c r="AE34" s="271">
        <f>IF('Proposed Rations'!J5*'Proposed Rations'!J$27*365/2000&gt;0, 'Proposed Rations'!J5*'Proposed Rations'!J$27*365/2000, 0)</f>
        <v>0</v>
      </c>
      <c r="AF34" s="271">
        <f t="shared" ref="AF34:AF52" si="47">IF(AE34="","", AE34-AD34)</f>
        <v>0</v>
      </c>
      <c r="AG34" s="18" t="str">
        <f t="shared" ref="AG34:AG52" si="48">AC34</f>
        <v/>
      </c>
      <c r="AH34" s="271">
        <f>IF('Current Rations'!K5*'Current Rations'!K$27*365/2000&gt;0, 'Current Rations'!K5*'Current Rations'!K$27*365/2000, 0)</f>
        <v>0</v>
      </c>
      <c r="AI34" s="271">
        <f>IF('Proposed Rations'!K5*'Proposed Rations'!K$27*365/2000&gt;0, 'Proposed Rations'!K5*'Proposed Rations'!K$27*365/2000, 0)</f>
        <v>0</v>
      </c>
      <c r="AJ34" s="271">
        <f t="shared" ref="AJ34:AJ52" si="49">IF(AI34="","", AI34-AH34)</f>
        <v>0</v>
      </c>
      <c r="AK34" s="18" t="str">
        <f t="shared" ref="AK34:AK52" si="50">AG34</f>
        <v/>
      </c>
      <c r="AL34" s="271">
        <f>IF('Current Rations'!L5*'Current Rations'!L$27*365/2000&gt;0, 'Current Rations'!L5*'Current Rations'!L$27*365/2000, 0)</f>
        <v>0</v>
      </c>
      <c r="AM34" s="271">
        <f>IF('Proposed Rations'!L5*'Proposed Rations'!L$27*365/2000&gt;0, 'Proposed Rations'!L5*'Proposed Rations'!L$27*365/2000, 0)</f>
        <v>0</v>
      </c>
      <c r="AN34" s="271">
        <f t="shared" ref="AN34:AN52" si="51">IF(AM34="","", AM34-AL34)</f>
        <v>0</v>
      </c>
      <c r="AO34" s="18" t="str">
        <f t="shared" ref="AO34:AO52" si="52">AK34</f>
        <v/>
      </c>
      <c r="AP34" s="271" t="str">
        <f>IF(SUMPRODUCT('Current Rations'!C5:L5,'Current Rations'!C$27:L$27)*365/2000&gt;0,SUMPRODUCT('Current Rations'!C5:L5,'Current Rations'!C$27:L$27)*365/2000, "")</f>
        <v/>
      </c>
      <c r="AQ34" s="271" t="str">
        <f>IF(SUMPRODUCT('Proposed Rations'!C5:L5,'Proposed Rations'!C$27:L$27)*365/2000&gt;0,SUMPRODUCT('Proposed Rations'!C5:L5,'Proposed Rations'!C$27:L$27)*365/2000,"")</f>
        <v/>
      </c>
      <c r="AR34" s="271" t="str">
        <f t="shared" ref="AR34:AR52" si="53">IF(AQ34="","", AQ34-AP34)</f>
        <v/>
      </c>
    </row>
    <row r="35" spans="1:44" x14ac:dyDescent="0.2">
      <c r="A35" s="18" t="str">
        <f>'Proposed Rations'!B6</f>
        <v/>
      </c>
      <c r="B35" s="271">
        <f>IF('Current Rations'!C6*'Current Rations'!C$27*365/2000&gt;0, 'Current Rations'!C6*'Current Rations'!C$27*365/2000, 0)</f>
        <v>0</v>
      </c>
      <c r="C35" s="271">
        <f>IF('Proposed Rations'!C6*'Proposed Rations'!C$27*365/2000&gt;0, 'Proposed Rations'!C6*'Proposed Rations'!C$27*365/2000, 0)</f>
        <v>0</v>
      </c>
      <c r="D35" s="271">
        <f t="shared" si="33"/>
        <v>0</v>
      </c>
      <c r="E35" s="18" t="str">
        <f t="shared" si="34"/>
        <v/>
      </c>
      <c r="F35" s="271">
        <f>IF('Current Rations'!D6*'Current Rations'!D$27*365/2000&gt;0, 'Current Rations'!D6*'Current Rations'!D$27*365/2000, 0)</f>
        <v>0</v>
      </c>
      <c r="G35" s="271">
        <f>IF('Proposed Rations'!D6*'Proposed Rations'!D$27*365/2000&gt;0, 'Proposed Rations'!D6*'Proposed Rations'!D$27*365/2000, 0)</f>
        <v>0</v>
      </c>
      <c r="H35" s="271">
        <f t="shared" si="35"/>
        <v>0</v>
      </c>
      <c r="I35" s="18" t="str">
        <f t="shared" si="36"/>
        <v/>
      </c>
      <c r="J35" s="271">
        <f>IF('Current Rations'!E6*'Current Rations'!E$27*365/2000&gt;0, 'Current Rations'!E6*'Current Rations'!E$27*365/2000, 0)</f>
        <v>0</v>
      </c>
      <c r="K35" s="271">
        <f>IF('Proposed Rations'!E6*'Proposed Rations'!E$27*365/2000&gt;0, 'Proposed Rations'!E6*'Proposed Rations'!E$27*365/2000, 0)</f>
        <v>0</v>
      </c>
      <c r="L35" s="271">
        <f t="shared" si="37"/>
        <v>0</v>
      </c>
      <c r="M35" s="18" t="str">
        <f t="shared" si="38"/>
        <v/>
      </c>
      <c r="N35" s="271">
        <f>IF('Current Rations'!F6*'Current Rations'!F$27*365/2000&gt;0, 'Current Rations'!F6*'Current Rations'!F$27*365/2000, 0)</f>
        <v>0</v>
      </c>
      <c r="O35" s="271">
        <f>IF('Proposed Rations'!F6*'Proposed Rations'!F$27*365/2000&gt;0, 'Proposed Rations'!F6*'Proposed Rations'!F$27*365/2000, 0)</f>
        <v>0</v>
      </c>
      <c r="P35" s="271">
        <f t="shared" si="39"/>
        <v>0</v>
      </c>
      <c r="Q35" s="18" t="str">
        <f t="shared" si="40"/>
        <v/>
      </c>
      <c r="R35" s="271">
        <f>IF('Current Rations'!G6*'Current Rations'!G$27*365/2000&gt;0, 'Current Rations'!G6*'Current Rations'!G$27*365/2000, 0)</f>
        <v>0</v>
      </c>
      <c r="S35" s="271">
        <f>IF('Proposed Rations'!G6*'Proposed Rations'!G$27*365/2000&gt;0, 'Proposed Rations'!G6*'Proposed Rations'!G$27*365/2000, 0)</f>
        <v>0</v>
      </c>
      <c r="T35" s="271">
        <f t="shared" si="41"/>
        <v>0</v>
      </c>
      <c r="U35" s="18" t="str">
        <f t="shared" si="42"/>
        <v/>
      </c>
      <c r="V35" s="271">
        <f>IF('Current Rations'!H6*'Current Rations'!H$27*365/2000&gt;0, 'Current Rations'!H6*'Current Rations'!H$27*365/2000, 0)</f>
        <v>0</v>
      </c>
      <c r="W35" s="271">
        <f>IF('Proposed Rations'!H6*'Proposed Rations'!H$27*365/2000&gt;0, 'Proposed Rations'!H6*'Proposed Rations'!H$27*365/2000, 0)</f>
        <v>0</v>
      </c>
      <c r="X35" s="271">
        <f t="shared" si="43"/>
        <v>0</v>
      </c>
      <c r="Y35" s="18" t="str">
        <f t="shared" si="44"/>
        <v/>
      </c>
      <c r="Z35" s="271">
        <f>IF('Current Rations'!I6*'Current Rations'!I$27*365/2000&gt;0, 'Current Rations'!I6*'Current Rations'!I$27*365/2000, 0)</f>
        <v>0</v>
      </c>
      <c r="AA35" s="271">
        <f>IF('Proposed Rations'!I6*'Proposed Rations'!I$27*365/2000&gt;0, 'Proposed Rations'!I6*'Proposed Rations'!I$27*365/2000, 0)</f>
        <v>0</v>
      </c>
      <c r="AB35" s="271">
        <f t="shared" si="45"/>
        <v>0</v>
      </c>
      <c r="AC35" s="18" t="str">
        <f t="shared" si="46"/>
        <v/>
      </c>
      <c r="AD35" s="271">
        <f>IF('Current Rations'!J6*'Current Rations'!J$27*365/2000&gt;0, 'Current Rations'!J6*'Current Rations'!J$27*365/2000, 0)</f>
        <v>0</v>
      </c>
      <c r="AE35" s="271">
        <f>IF('Proposed Rations'!J6*'Proposed Rations'!J$27*365/2000&gt;0, 'Proposed Rations'!J6*'Proposed Rations'!J$27*365/2000, 0)</f>
        <v>0</v>
      </c>
      <c r="AF35" s="271">
        <f t="shared" si="47"/>
        <v>0</v>
      </c>
      <c r="AG35" s="18" t="str">
        <f t="shared" si="48"/>
        <v/>
      </c>
      <c r="AH35" s="271">
        <f>IF('Current Rations'!K6*'Current Rations'!K$27*365/2000&gt;0, 'Current Rations'!K6*'Current Rations'!K$27*365/2000, 0)</f>
        <v>0</v>
      </c>
      <c r="AI35" s="271">
        <f>IF('Proposed Rations'!K6*'Proposed Rations'!K$27*365/2000&gt;0, 'Proposed Rations'!K6*'Proposed Rations'!K$27*365/2000, 0)</f>
        <v>0</v>
      </c>
      <c r="AJ35" s="271">
        <f t="shared" si="49"/>
        <v>0</v>
      </c>
      <c r="AK35" s="18" t="str">
        <f t="shared" si="50"/>
        <v/>
      </c>
      <c r="AL35" s="271">
        <f>IF('Current Rations'!L6*'Current Rations'!L$27*365/2000&gt;0, 'Current Rations'!L6*'Current Rations'!L$27*365/2000, 0)</f>
        <v>0</v>
      </c>
      <c r="AM35" s="271">
        <f>IF('Proposed Rations'!L6*'Proposed Rations'!L$27*365/2000&gt;0, 'Proposed Rations'!L6*'Proposed Rations'!L$27*365/2000, 0)</f>
        <v>0</v>
      </c>
      <c r="AN35" s="271">
        <f t="shared" si="51"/>
        <v>0</v>
      </c>
      <c r="AO35" s="18" t="str">
        <f t="shared" si="52"/>
        <v/>
      </c>
      <c r="AP35" s="271" t="str">
        <f>IF(SUMPRODUCT('Current Rations'!C6:L6,'Current Rations'!C$27:L$27)*365/2000&gt;0,SUMPRODUCT('Current Rations'!C6:L6,'Current Rations'!C$27:L$27)*365/2000, "")</f>
        <v/>
      </c>
      <c r="AQ35" s="271" t="str">
        <f>IF(SUMPRODUCT('Proposed Rations'!C6:L6,'Proposed Rations'!C$27:L$27)*365/2000&gt;0,SUMPRODUCT('Proposed Rations'!C6:L6,'Proposed Rations'!C$27:L$27)*365/2000,"")</f>
        <v/>
      </c>
      <c r="AR35" s="271" t="str">
        <f t="shared" si="53"/>
        <v/>
      </c>
    </row>
    <row r="36" spans="1:44" x14ac:dyDescent="0.2">
      <c r="A36" s="18" t="str">
        <f>'Proposed Rations'!B7</f>
        <v/>
      </c>
      <c r="B36" s="271">
        <f>IF('Current Rations'!C7*'Current Rations'!C$27*365/2000&gt;0, 'Current Rations'!C7*'Current Rations'!C$27*365/2000, 0)</f>
        <v>0</v>
      </c>
      <c r="C36" s="271">
        <f>IF('Proposed Rations'!C7*'Proposed Rations'!C$27*365/2000&gt;0, 'Proposed Rations'!C7*'Proposed Rations'!C$27*365/2000, 0)</f>
        <v>0</v>
      </c>
      <c r="D36" s="271">
        <f t="shared" si="33"/>
        <v>0</v>
      </c>
      <c r="E36" s="18" t="str">
        <f t="shared" si="34"/>
        <v/>
      </c>
      <c r="F36" s="271">
        <f>IF('Current Rations'!D7*'Current Rations'!D$27*365/2000&gt;0, 'Current Rations'!D7*'Current Rations'!D$27*365/2000, 0)</f>
        <v>0</v>
      </c>
      <c r="G36" s="271">
        <f>IF('Proposed Rations'!D7*'Proposed Rations'!D$27*365/2000&gt;0, 'Proposed Rations'!D7*'Proposed Rations'!D$27*365/2000, 0)</f>
        <v>0</v>
      </c>
      <c r="H36" s="271">
        <f t="shared" si="35"/>
        <v>0</v>
      </c>
      <c r="I36" s="18" t="str">
        <f t="shared" si="36"/>
        <v/>
      </c>
      <c r="J36" s="271">
        <f>IF('Current Rations'!E7*'Current Rations'!E$27*365/2000&gt;0, 'Current Rations'!E7*'Current Rations'!E$27*365/2000, 0)</f>
        <v>0</v>
      </c>
      <c r="K36" s="271">
        <f>IF('Proposed Rations'!E7*'Proposed Rations'!E$27*365/2000&gt;0, 'Proposed Rations'!E7*'Proposed Rations'!E$27*365/2000, 0)</f>
        <v>0</v>
      </c>
      <c r="L36" s="271">
        <f t="shared" si="37"/>
        <v>0</v>
      </c>
      <c r="M36" s="18" t="str">
        <f t="shared" si="38"/>
        <v/>
      </c>
      <c r="N36" s="271">
        <f>IF('Current Rations'!F7*'Current Rations'!F$27*365/2000&gt;0, 'Current Rations'!F7*'Current Rations'!F$27*365/2000, 0)</f>
        <v>0</v>
      </c>
      <c r="O36" s="271">
        <f>IF('Proposed Rations'!F7*'Proposed Rations'!F$27*365/2000&gt;0, 'Proposed Rations'!F7*'Proposed Rations'!F$27*365/2000, 0)</f>
        <v>0</v>
      </c>
      <c r="P36" s="271">
        <f t="shared" si="39"/>
        <v>0</v>
      </c>
      <c r="Q36" s="18" t="str">
        <f t="shared" si="40"/>
        <v/>
      </c>
      <c r="R36" s="271">
        <f>IF('Current Rations'!G7*'Current Rations'!G$27*365/2000&gt;0, 'Current Rations'!G7*'Current Rations'!G$27*365/2000, 0)</f>
        <v>0</v>
      </c>
      <c r="S36" s="271">
        <f>IF('Proposed Rations'!G7*'Proposed Rations'!G$27*365/2000&gt;0, 'Proposed Rations'!G7*'Proposed Rations'!G$27*365/2000, 0)</f>
        <v>0</v>
      </c>
      <c r="T36" s="271">
        <f t="shared" si="41"/>
        <v>0</v>
      </c>
      <c r="U36" s="18" t="str">
        <f t="shared" si="42"/>
        <v/>
      </c>
      <c r="V36" s="271">
        <f>IF('Current Rations'!H7*'Current Rations'!H$27*365/2000&gt;0, 'Current Rations'!H7*'Current Rations'!H$27*365/2000, 0)</f>
        <v>0</v>
      </c>
      <c r="W36" s="271">
        <f>IF('Proposed Rations'!H7*'Proposed Rations'!H$27*365/2000&gt;0, 'Proposed Rations'!H7*'Proposed Rations'!H$27*365/2000, 0)</f>
        <v>0</v>
      </c>
      <c r="X36" s="271">
        <f t="shared" si="43"/>
        <v>0</v>
      </c>
      <c r="Y36" s="18" t="str">
        <f t="shared" si="44"/>
        <v/>
      </c>
      <c r="Z36" s="271">
        <f>IF('Current Rations'!I7*'Current Rations'!I$27*365/2000&gt;0, 'Current Rations'!I7*'Current Rations'!I$27*365/2000, 0)</f>
        <v>0</v>
      </c>
      <c r="AA36" s="271">
        <f>IF('Proposed Rations'!I7*'Proposed Rations'!I$27*365/2000&gt;0, 'Proposed Rations'!I7*'Proposed Rations'!I$27*365/2000, 0)</f>
        <v>0</v>
      </c>
      <c r="AB36" s="271">
        <f t="shared" si="45"/>
        <v>0</v>
      </c>
      <c r="AC36" s="18" t="str">
        <f t="shared" si="46"/>
        <v/>
      </c>
      <c r="AD36" s="271">
        <f>IF('Current Rations'!J7*'Current Rations'!J$27*365/2000&gt;0, 'Current Rations'!J7*'Current Rations'!J$27*365/2000, 0)</f>
        <v>0</v>
      </c>
      <c r="AE36" s="271">
        <f>IF('Proposed Rations'!J7*'Proposed Rations'!J$27*365/2000&gt;0, 'Proposed Rations'!J7*'Proposed Rations'!J$27*365/2000, 0)</f>
        <v>0</v>
      </c>
      <c r="AF36" s="271">
        <f t="shared" si="47"/>
        <v>0</v>
      </c>
      <c r="AG36" s="18" t="str">
        <f t="shared" si="48"/>
        <v/>
      </c>
      <c r="AH36" s="271">
        <f>IF('Current Rations'!K7*'Current Rations'!K$27*365/2000&gt;0, 'Current Rations'!K7*'Current Rations'!K$27*365/2000, 0)</f>
        <v>0</v>
      </c>
      <c r="AI36" s="271">
        <f>IF('Proposed Rations'!K7*'Proposed Rations'!K$27*365/2000&gt;0, 'Proposed Rations'!K7*'Proposed Rations'!K$27*365/2000, 0)</f>
        <v>0</v>
      </c>
      <c r="AJ36" s="271">
        <f t="shared" si="49"/>
        <v>0</v>
      </c>
      <c r="AK36" s="18" t="str">
        <f t="shared" si="50"/>
        <v/>
      </c>
      <c r="AL36" s="271">
        <f>IF('Current Rations'!L7*'Current Rations'!L$27*365/2000&gt;0, 'Current Rations'!L7*'Current Rations'!L$27*365/2000, 0)</f>
        <v>0</v>
      </c>
      <c r="AM36" s="271">
        <f>IF('Proposed Rations'!L7*'Proposed Rations'!L$27*365/2000&gt;0, 'Proposed Rations'!L7*'Proposed Rations'!L$27*365/2000, 0)</f>
        <v>0</v>
      </c>
      <c r="AN36" s="271">
        <f t="shared" si="51"/>
        <v>0</v>
      </c>
      <c r="AO36" s="18" t="str">
        <f t="shared" si="52"/>
        <v/>
      </c>
      <c r="AP36" s="271" t="str">
        <f>IF(SUMPRODUCT('Current Rations'!C7:L7,'Current Rations'!C$27:L$27)*365/2000&gt;0,SUMPRODUCT('Current Rations'!C7:L7,'Current Rations'!C$27:L$27)*365/2000, "")</f>
        <v/>
      </c>
      <c r="AQ36" s="271" t="str">
        <f>IF(SUMPRODUCT('Proposed Rations'!C7:L7,'Proposed Rations'!C$27:L$27)*365/2000&gt;0,SUMPRODUCT('Proposed Rations'!C7:L7,'Proposed Rations'!C$27:L$27)*365/2000,"")</f>
        <v/>
      </c>
      <c r="AR36" s="271" t="str">
        <f t="shared" si="53"/>
        <v/>
      </c>
    </row>
    <row r="37" spans="1:44" x14ac:dyDescent="0.2">
      <c r="A37" s="18" t="str">
        <f>'Proposed Rations'!B8</f>
        <v/>
      </c>
      <c r="B37" s="271">
        <f>IF('Current Rations'!C8*'Current Rations'!C$27*365/2000&gt;0, 'Current Rations'!C8*'Current Rations'!C$27*365/2000, 0)</f>
        <v>0</v>
      </c>
      <c r="C37" s="271">
        <f>IF('Proposed Rations'!C8*'Proposed Rations'!C$27*365/2000&gt;0, 'Proposed Rations'!C8*'Proposed Rations'!C$27*365/2000, 0)</f>
        <v>0</v>
      </c>
      <c r="D37" s="271">
        <f t="shared" si="33"/>
        <v>0</v>
      </c>
      <c r="E37" s="18" t="str">
        <f t="shared" si="34"/>
        <v/>
      </c>
      <c r="F37" s="271">
        <f>IF('Current Rations'!D8*'Current Rations'!D$27*365/2000&gt;0, 'Current Rations'!D8*'Current Rations'!D$27*365/2000, 0)</f>
        <v>0</v>
      </c>
      <c r="G37" s="271">
        <f>IF('Proposed Rations'!D8*'Proposed Rations'!D$27*365/2000&gt;0, 'Proposed Rations'!D8*'Proposed Rations'!D$27*365/2000, 0)</f>
        <v>0</v>
      </c>
      <c r="H37" s="271">
        <f t="shared" si="35"/>
        <v>0</v>
      </c>
      <c r="I37" s="18" t="str">
        <f t="shared" si="36"/>
        <v/>
      </c>
      <c r="J37" s="271">
        <f>IF('Current Rations'!E8*'Current Rations'!E$27*365/2000&gt;0, 'Current Rations'!E8*'Current Rations'!E$27*365/2000, 0)</f>
        <v>0</v>
      </c>
      <c r="K37" s="271">
        <f>IF('Proposed Rations'!E8*'Proposed Rations'!E$27*365/2000&gt;0, 'Proposed Rations'!E8*'Proposed Rations'!E$27*365/2000, 0)</f>
        <v>0</v>
      </c>
      <c r="L37" s="271">
        <f t="shared" si="37"/>
        <v>0</v>
      </c>
      <c r="M37" s="18" t="str">
        <f t="shared" si="38"/>
        <v/>
      </c>
      <c r="N37" s="271">
        <f>IF('Current Rations'!F8*'Current Rations'!F$27*365/2000&gt;0, 'Current Rations'!F8*'Current Rations'!F$27*365/2000, 0)</f>
        <v>0</v>
      </c>
      <c r="O37" s="271">
        <f>IF('Proposed Rations'!F8*'Proposed Rations'!F$27*365/2000&gt;0, 'Proposed Rations'!F8*'Proposed Rations'!F$27*365/2000, 0)</f>
        <v>0</v>
      </c>
      <c r="P37" s="271">
        <f t="shared" si="39"/>
        <v>0</v>
      </c>
      <c r="Q37" s="18" t="str">
        <f t="shared" si="40"/>
        <v/>
      </c>
      <c r="R37" s="271">
        <f>IF('Current Rations'!G8*'Current Rations'!G$27*365/2000&gt;0, 'Current Rations'!G8*'Current Rations'!G$27*365/2000, 0)</f>
        <v>0</v>
      </c>
      <c r="S37" s="271">
        <f>IF('Proposed Rations'!G8*'Proposed Rations'!G$27*365/2000&gt;0, 'Proposed Rations'!G8*'Proposed Rations'!G$27*365/2000, 0)</f>
        <v>0</v>
      </c>
      <c r="T37" s="271">
        <f t="shared" si="41"/>
        <v>0</v>
      </c>
      <c r="U37" s="18" t="str">
        <f t="shared" si="42"/>
        <v/>
      </c>
      <c r="V37" s="271">
        <f>IF('Current Rations'!H8*'Current Rations'!H$27*365/2000&gt;0, 'Current Rations'!H8*'Current Rations'!H$27*365/2000, 0)</f>
        <v>0</v>
      </c>
      <c r="W37" s="271">
        <f>IF('Proposed Rations'!H8*'Proposed Rations'!H$27*365/2000&gt;0, 'Proposed Rations'!H8*'Proposed Rations'!H$27*365/2000, 0)</f>
        <v>0</v>
      </c>
      <c r="X37" s="271">
        <f t="shared" si="43"/>
        <v>0</v>
      </c>
      <c r="Y37" s="18" t="str">
        <f t="shared" si="44"/>
        <v/>
      </c>
      <c r="Z37" s="271">
        <f>IF('Current Rations'!I8*'Current Rations'!I$27*365/2000&gt;0, 'Current Rations'!I8*'Current Rations'!I$27*365/2000, 0)</f>
        <v>0</v>
      </c>
      <c r="AA37" s="271">
        <f>IF('Proposed Rations'!I8*'Proposed Rations'!I$27*365/2000&gt;0, 'Proposed Rations'!I8*'Proposed Rations'!I$27*365/2000, 0)</f>
        <v>0</v>
      </c>
      <c r="AB37" s="271">
        <f t="shared" si="45"/>
        <v>0</v>
      </c>
      <c r="AC37" s="18" t="str">
        <f t="shared" si="46"/>
        <v/>
      </c>
      <c r="AD37" s="271">
        <f>IF('Current Rations'!J8*'Current Rations'!J$27*365/2000&gt;0, 'Current Rations'!J8*'Current Rations'!J$27*365/2000, 0)</f>
        <v>0</v>
      </c>
      <c r="AE37" s="271">
        <f>IF('Proposed Rations'!J8*'Proposed Rations'!J$27*365/2000&gt;0, 'Proposed Rations'!J8*'Proposed Rations'!J$27*365/2000, 0)</f>
        <v>0</v>
      </c>
      <c r="AF37" s="271">
        <f t="shared" si="47"/>
        <v>0</v>
      </c>
      <c r="AG37" s="18" t="str">
        <f t="shared" si="48"/>
        <v/>
      </c>
      <c r="AH37" s="271">
        <f>IF('Current Rations'!K8*'Current Rations'!K$27*365/2000&gt;0, 'Current Rations'!K8*'Current Rations'!K$27*365/2000, 0)</f>
        <v>0</v>
      </c>
      <c r="AI37" s="271">
        <f>IF('Proposed Rations'!K8*'Proposed Rations'!K$27*365/2000&gt;0, 'Proposed Rations'!K8*'Proposed Rations'!K$27*365/2000, 0)</f>
        <v>0</v>
      </c>
      <c r="AJ37" s="271">
        <f t="shared" si="49"/>
        <v>0</v>
      </c>
      <c r="AK37" s="18" t="str">
        <f t="shared" si="50"/>
        <v/>
      </c>
      <c r="AL37" s="271">
        <f>IF('Current Rations'!L8*'Current Rations'!L$27*365/2000&gt;0, 'Current Rations'!L8*'Current Rations'!L$27*365/2000, 0)</f>
        <v>0</v>
      </c>
      <c r="AM37" s="271">
        <f>IF('Proposed Rations'!L8*'Proposed Rations'!L$27*365/2000&gt;0, 'Proposed Rations'!L8*'Proposed Rations'!L$27*365/2000, 0)</f>
        <v>0</v>
      </c>
      <c r="AN37" s="271">
        <f t="shared" si="51"/>
        <v>0</v>
      </c>
      <c r="AO37" s="18" t="str">
        <f t="shared" si="52"/>
        <v/>
      </c>
      <c r="AP37" s="271" t="str">
        <f>IF(SUMPRODUCT('Current Rations'!C8:L8,'Current Rations'!C$27:L$27)*365/2000&gt;0,SUMPRODUCT('Current Rations'!C8:L8,'Current Rations'!C$27:L$27)*365/2000, "")</f>
        <v/>
      </c>
      <c r="AQ37" s="271" t="str">
        <f>IF(SUMPRODUCT('Proposed Rations'!C8:L8,'Proposed Rations'!C$27:L$27)*365/2000&gt;0,SUMPRODUCT('Proposed Rations'!C8:L8,'Proposed Rations'!C$27:L$27)*365/2000,"")</f>
        <v/>
      </c>
      <c r="AR37" s="271" t="str">
        <f t="shared" si="53"/>
        <v/>
      </c>
    </row>
    <row r="38" spans="1:44" x14ac:dyDescent="0.2">
      <c r="A38" s="18" t="str">
        <f>'Proposed Rations'!B9</f>
        <v/>
      </c>
      <c r="B38" s="271">
        <f>IF('Current Rations'!C9*'Current Rations'!C$27*365/2000&gt;0, 'Current Rations'!C9*'Current Rations'!C$27*365/2000, 0)</f>
        <v>0</v>
      </c>
      <c r="C38" s="271">
        <f>IF('Proposed Rations'!C9*'Proposed Rations'!C$27*365/2000&gt;0, 'Proposed Rations'!C9*'Proposed Rations'!C$27*365/2000, 0)</f>
        <v>0</v>
      </c>
      <c r="D38" s="271">
        <f t="shared" si="33"/>
        <v>0</v>
      </c>
      <c r="E38" s="18" t="str">
        <f t="shared" si="34"/>
        <v/>
      </c>
      <c r="F38" s="271">
        <f>IF('Current Rations'!D9*'Current Rations'!D$27*365/2000&gt;0, 'Current Rations'!D9*'Current Rations'!D$27*365/2000, 0)</f>
        <v>0</v>
      </c>
      <c r="G38" s="271">
        <f>IF('Proposed Rations'!D9*'Proposed Rations'!D$27*365/2000&gt;0, 'Proposed Rations'!D9*'Proposed Rations'!D$27*365/2000, 0)</f>
        <v>0</v>
      </c>
      <c r="H38" s="271">
        <f t="shared" si="35"/>
        <v>0</v>
      </c>
      <c r="I38" s="18" t="str">
        <f t="shared" si="36"/>
        <v/>
      </c>
      <c r="J38" s="271">
        <f>IF('Current Rations'!E9*'Current Rations'!E$27*365/2000&gt;0, 'Current Rations'!E9*'Current Rations'!E$27*365/2000, 0)</f>
        <v>0</v>
      </c>
      <c r="K38" s="271">
        <f>IF('Proposed Rations'!E9*'Proposed Rations'!E$27*365/2000&gt;0, 'Proposed Rations'!E9*'Proposed Rations'!E$27*365/2000, 0)</f>
        <v>0</v>
      </c>
      <c r="L38" s="271">
        <f t="shared" si="37"/>
        <v>0</v>
      </c>
      <c r="M38" s="18" t="str">
        <f t="shared" si="38"/>
        <v/>
      </c>
      <c r="N38" s="271">
        <f>IF('Current Rations'!F9*'Current Rations'!F$27*365/2000&gt;0, 'Current Rations'!F9*'Current Rations'!F$27*365/2000, 0)</f>
        <v>0</v>
      </c>
      <c r="O38" s="271">
        <f>IF('Proposed Rations'!F9*'Proposed Rations'!F$27*365/2000&gt;0, 'Proposed Rations'!F9*'Proposed Rations'!F$27*365/2000, 0)</f>
        <v>0</v>
      </c>
      <c r="P38" s="271">
        <f t="shared" si="39"/>
        <v>0</v>
      </c>
      <c r="Q38" s="18" t="str">
        <f t="shared" si="40"/>
        <v/>
      </c>
      <c r="R38" s="271">
        <f>IF('Current Rations'!G9*'Current Rations'!G$27*365/2000&gt;0, 'Current Rations'!G9*'Current Rations'!G$27*365/2000, 0)</f>
        <v>0</v>
      </c>
      <c r="S38" s="271">
        <f>IF('Proposed Rations'!G9*'Proposed Rations'!G$27*365/2000&gt;0, 'Proposed Rations'!G9*'Proposed Rations'!G$27*365/2000, 0)</f>
        <v>0</v>
      </c>
      <c r="T38" s="271">
        <f t="shared" si="41"/>
        <v>0</v>
      </c>
      <c r="U38" s="18" t="str">
        <f t="shared" si="42"/>
        <v/>
      </c>
      <c r="V38" s="271">
        <f>IF('Current Rations'!H9*'Current Rations'!H$27*365/2000&gt;0, 'Current Rations'!H9*'Current Rations'!H$27*365/2000, 0)</f>
        <v>0</v>
      </c>
      <c r="W38" s="271">
        <f>IF('Proposed Rations'!H9*'Proposed Rations'!H$27*365/2000&gt;0, 'Proposed Rations'!H9*'Proposed Rations'!H$27*365/2000, 0)</f>
        <v>0</v>
      </c>
      <c r="X38" s="271">
        <f t="shared" si="43"/>
        <v>0</v>
      </c>
      <c r="Y38" s="18" t="str">
        <f t="shared" si="44"/>
        <v/>
      </c>
      <c r="Z38" s="271">
        <f>IF('Current Rations'!I9*'Current Rations'!I$27*365/2000&gt;0, 'Current Rations'!I9*'Current Rations'!I$27*365/2000, 0)</f>
        <v>0</v>
      </c>
      <c r="AA38" s="271">
        <f>IF('Proposed Rations'!I9*'Proposed Rations'!I$27*365/2000&gt;0, 'Proposed Rations'!I9*'Proposed Rations'!I$27*365/2000, 0)</f>
        <v>0</v>
      </c>
      <c r="AB38" s="271">
        <f t="shared" si="45"/>
        <v>0</v>
      </c>
      <c r="AC38" s="18" t="str">
        <f t="shared" si="46"/>
        <v/>
      </c>
      <c r="AD38" s="271">
        <f>IF('Current Rations'!J9*'Current Rations'!J$27*365/2000&gt;0, 'Current Rations'!J9*'Current Rations'!J$27*365/2000, 0)</f>
        <v>0</v>
      </c>
      <c r="AE38" s="271">
        <f>IF('Proposed Rations'!J9*'Proposed Rations'!J$27*365/2000&gt;0, 'Proposed Rations'!J9*'Proposed Rations'!J$27*365/2000, 0)</f>
        <v>0</v>
      </c>
      <c r="AF38" s="271">
        <f t="shared" si="47"/>
        <v>0</v>
      </c>
      <c r="AG38" s="18" t="str">
        <f t="shared" si="48"/>
        <v/>
      </c>
      <c r="AH38" s="271">
        <f>IF('Current Rations'!K9*'Current Rations'!K$27*365/2000&gt;0, 'Current Rations'!K9*'Current Rations'!K$27*365/2000, 0)</f>
        <v>0</v>
      </c>
      <c r="AI38" s="271">
        <f>IF('Proposed Rations'!K9*'Proposed Rations'!K$27*365/2000&gt;0, 'Proposed Rations'!K9*'Proposed Rations'!K$27*365/2000, 0)</f>
        <v>0</v>
      </c>
      <c r="AJ38" s="271">
        <f t="shared" si="49"/>
        <v>0</v>
      </c>
      <c r="AK38" s="18" t="str">
        <f t="shared" si="50"/>
        <v/>
      </c>
      <c r="AL38" s="271">
        <f>IF('Current Rations'!L9*'Current Rations'!L$27*365/2000&gt;0, 'Current Rations'!L9*'Current Rations'!L$27*365/2000, 0)</f>
        <v>0</v>
      </c>
      <c r="AM38" s="271">
        <f>IF('Proposed Rations'!L9*'Proposed Rations'!L$27*365/2000&gt;0, 'Proposed Rations'!L9*'Proposed Rations'!L$27*365/2000, 0)</f>
        <v>0</v>
      </c>
      <c r="AN38" s="271">
        <f t="shared" si="51"/>
        <v>0</v>
      </c>
      <c r="AO38" s="18" t="str">
        <f t="shared" si="52"/>
        <v/>
      </c>
      <c r="AP38" s="271" t="str">
        <f>IF(SUMPRODUCT('Current Rations'!C9:L9,'Current Rations'!C$27:L$27)*365/2000&gt;0,SUMPRODUCT('Current Rations'!C9:L9,'Current Rations'!C$27:L$27)*365/2000, "")</f>
        <v/>
      </c>
      <c r="AQ38" s="271" t="str">
        <f>IF(SUMPRODUCT('Proposed Rations'!C9:L9,'Proposed Rations'!C$27:L$27)*365/2000&gt;0,SUMPRODUCT('Proposed Rations'!C9:L9,'Proposed Rations'!C$27:L$27)*365/2000,"")</f>
        <v/>
      </c>
      <c r="AR38" s="271" t="str">
        <f t="shared" si="53"/>
        <v/>
      </c>
    </row>
    <row r="39" spans="1:44" x14ac:dyDescent="0.2">
      <c r="A39" s="18" t="str">
        <f>'Proposed Rations'!B10</f>
        <v/>
      </c>
      <c r="B39" s="271">
        <f>IF('Current Rations'!C10*'Current Rations'!C$27*365/2000&gt;0, 'Current Rations'!C10*'Current Rations'!C$27*365/2000, 0)</f>
        <v>0</v>
      </c>
      <c r="C39" s="271">
        <f>IF('Proposed Rations'!C10*'Proposed Rations'!C$27*365/2000&gt;0, 'Proposed Rations'!C10*'Proposed Rations'!C$27*365/2000, 0)</f>
        <v>0</v>
      </c>
      <c r="D39" s="271">
        <f t="shared" si="33"/>
        <v>0</v>
      </c>
      <c r="E39" s="18" t="str">
        <f t="shared" si="34"/>
        <v/>
      </c>
      <c r="F39" s="271">
        <f>IF('Current Rations'!D10*'Current Rations'!D$27*365/2000&gt;0, 'Current Rations'!D10*'Current Rations'!D$27*365/2000, 0)</f>
        <v>0</v>
      </c>
      <c r="G39" s="271">
        <f>IF('Proposed Rations'!D10*'Proposed Rations'!D$27*365/2000&gt;0, 'Proposed Rations'!D10*'Proposed Rations'!D$27*365/2000, 0)</f>
        <v>0</v>
      </c>
      <c r="H39" s="271">
        <f t="shared" si="35"/>
        <v>0</v>
      </c>
      <c r="I39" s="18" t="str">
        <f t="shared" si="36"/>
        <v/>
      </c>
      <c r="J39" s="271">
        <f>IF('Current Rations'!E10*'Current Rations'!E$27*365/2000&gt;0, 'Current Rations'!E10*'Current Rations'!E$27*365/2000, 0)</f>
        <v>0</v>
      </c>
      <c r="K39" s="271">
        <f>IF('Proposed Rations'!E10*'Proposed Rations'!E$27*365/2000&gt;0, 'Proposed Rations'!E10*'Proposed Rations'!E$27*365/2000, 0)</f>
        <v>0</v>
      </c>
      <c r="L39" s="271">
        <f t="shared" si="37"/>
        <v>0</v>
      </c>
      <c r="M39" s="18" t="str">
        <f t="shared" si="38"/>
        <v/>
      </c>
      <c r="N39" s="271">
        <f>IF('Current Rations'!F10*'Current Rations'!F$27*365/2000&gt;0, 'Current Rations'!F10*'Current Rations'!F$27*365/2000, 0)</f>
        <v>0</v>
      </c>
      <c r="O39" s="271">
        <f>IF('Proposed Rations'!F10*'Proposed Rations'!F$27*365/2000&gt;0, 'Proposed Rations'!F10*'Proposed Rations'!F$27*365/2000, 0)</f>
        <v>0</v>
      </c>
      <c r="P39" s="271">
        <f t="shared" si="39"/>
        <v>0</v>
      </c>
      <c r="Q39" s="18" t="str">
        <f t="shared" si="40"/>
        <v/>
      </c>
      <c r="R39" s="271">
        <f>IF('Current Rations'!G10*'Current Rations'!G$27*365/2000&gt;0, 'Current Rations'!G10*'Current Rations'!G$27*365/2000, 0)</f>
        <v>0</v>
      </c>
      <c r="S39" s="271">
        <f>IF('Proposed Rations'!G10*'Proposed Rations'!G$27*365/2000&gt;0, 'Proposed Rations'!G10*'Proposed Rations'!G$27*365/2000, 0)</f>
        <v>0</v>
      </c>
      <c r="T39" s="271">
        <f t="shared" si="41"/>
        <v>0</v>
      </c>
      <c r="U39" s="18" t="str">
        <f t="shared" si="42"/>
        <v/>
      </c>
      <c r="V39" s="271">
        <f>IF('Current Rations'!H10*'Current Rations'!H$27*365/2000&gt;0, 'Current Rations'!H10*'Current Rations'!H$27*365/2000, 0)</f>
        <v>0</v>
      </c>
      <c r="W39" s="271">
        <f>IF('Proposed Rations'!H10*'Proposed Rations'!H$27*365/2000&gt;0, 'Proposed Rations'!H10*'Proposed Rations'!H$27*365/2000, 0)</f>
        <v>0</v>
      </c>
      <c r="X39" s="271">
        <f t="shared" si="43"/>
        <v>0</v>
      </c>
      <c r="Y39" s="18" t="str">
        <f t="shared" si="44"/>
        <v/>
      </c>
      <c r="Z39" s="271">
        <f>IF('Current Rations'!I10*'Current Rations'!I$27*365/2000&gt;0, 'Current Rations'!I10*'Current Rations'!I$27*365/2000, 0)</f>
        <v>0</v>
      </c>
      <c r="AA39" s="271">
        <f>IF('Proposed Rations'!I10*'Proposed Rations'!I$27*365/2000&gt;0, 'Proposed Rations'!I10*'Proposed Rations'!I$27*365/2000, 0)</f>
        <v>0</v>
      </c>
      <c r="AB39" s="271">
        <f t="shared" si="45"/>
        <v>0</v>
      </c>
      <c r="AC39" s="18" t="str">
        <f t="shared" si="46"/>
        <v/>
      </c>
      <c r="AD39" s="271">
        <f>IF('Current Rations'!J10*'Current Rations'!J$27*365/2000&gt;0, 'Current Rations'!J10*'Current Rations'!J$27*365/2000, 0)</f>
        <v>0</v>
      </c>
      <c r="AE39" s="271">
        <f>IF('Proposed Rations'!J10*'Proposed Rations'!J$27*365/2000&gt;0, 'Proposed Rations'!J10*'Proposed Rations'!J$27*365/2000, 0)</f>
        <v>0</v>
      </c>
      <c r="AF39" s="271">
        <f t="shared" si="47"/>
        <v>0</v>
      </c>
      <c r="AG39" s="18" t="str">
        <f t="shared" si="48"/>
        <v/>
      </c>
      <c r="AH39" s="271">
        <f>IF('Current Rations'!K10*'Current Rations'!K$27*365/2000&gt;0, 'Current Rations'!K10*'Current Rations'!K$27*365/2000, 0)</f>
        <v>0</v>
      </c>
      <c r="AI39" s="271">
        <f>IF('Proposed Rations'!K10*'Proposed Rations'!K$27*365/2000&gt;0, 'Proposed Rations'!K10*'Proposed Rations'!K$27*365/2000, 0)</f>
        <v>0</v>
      </c>
      <c r="AJ39" s="271">
        <f t="shared" si="49"/>
        <v>0</v>
      </c>
      <c r="AK39" s="18" t="str">
        <f t="shared" si="50"/>
        <v/>
      </c>
      <c r="AL39" s="271">
        <f>IF('Current Rations'!L10*'Current Rations'!L$27*365/2000&gt;0, 'Current Rations'!L10*'Current Rations'!L$27*365/2000, 0)</f>
        <v>0</v>
      </c>
      <c r="AM39" s="271">
        <f>IF('Proposed Rations'!L10*'Proposed Rations'!L$27*365/2000&gt;0, 'Proposed Rations'!L10*'Proposed Rations'!L$27*365/2000, 0)</f>
        <v>0</v>
      </c>
      <c r="AN39" s="271">
        <f t="shared" si="51"/>
        <v>0</v>
      </c>
      <c r="AO39" s="18" t="str">
        <f t="shared" si="52"/>
        <v/>
      </c>
      <c r="AP39" s="271" t="str">
        <f>IF(SUMPRODUCT('Current Rations'!C10:L10,'Current Rations'!C$27:L$27)*365/2000&gt;0,SUMPRODUCT('Current Rations'!C10:L10,'Current Rations'!C$27:L$27)*365/2000, "")</f>
        <v/>
      </c>
      <c r="AQ39" s="271" t="str">
        <f>IF(SUMPRODUCT('Proposed Rations'!C10:L10,'Proposed Rations'!C$27:L$27)*365/2000&gt;0,SUMPRODUCT('Proposed Rations'!C10:L10,'Proposed Rations'!C$27:L$27)*365/2000,"")</f>
        <v/>
      </c>
      <c r="AR39" s="271" t="str">
        <f t="shared" si="53"/>
        <v/>
      </c>
    </row>
    <row r="40" spans="1:44" x14ac:dyDescent="0.2">
      <c r="A40" s="18" t="str">
        <f>'Proposed Rations'!B11</f>
        <v/>
      </c>
      <c r="B40" s="271">
        <f>IF('Current Rations'!C11*'Current Rations'!C$27*365/2000&gt;0, 'Current Rations'!C11*'Current Rations'!C$27*365/2000, 0)</f>
        <v>0</v>
      </c>
      <c r="C40" s="271">
        <f>IF('Proposed Rations'!C11*'Proposed Rations'!C$27*365/2000&gt;0, 'Proposed Rations'!C11*'Proposed Rations'!C$27*365/2000, 0)</f>
        <v>0</v>
      </c>
      <c r="D40" s="271">
        <f t="shared" si="33"/>
        <v>0</v>
      </c>
      <c r="E40" s="18" t="str">
        <f t="shared" si="34"/>
        <v/>
      </c>
      <c r="F40" s="271">
        <f>IF('Current Rations'!D11*'Current Rations'!D$27*365/2000&gt;0, 'Current Rations'!D11*'Current Rations'!D$27*365/2000, 0)</f>
        <v>0</v>
      </c>
      <c r="G40" s="271">
        <f>IF('Proposed Rations'!D11*'Proposed Rations'!D$27*365/2000&gt;0, 'Proposed Rations'!D11*'Proposed Rations'!D$27*365/2000, 0)</f>
        <v>0</v>
      </c>
      <c r="H40" s="271">
        <f t="shared" si="35"/>
        <v>0</v>
      </c>
      <c r="I40" s="18" t="str">
        <f t="shared" si="36"/>
        <v/>
      </c>
      <c r="J40" s="271">
        <f>IF('Current Rations'!E11*'Current Rations'!E$27*365/2000&gt;0, 'Current Rations'!E11*'Current Rations'!E$27*365/2000, 0)</f>
        <v>0</v>
      </c>
      <c r="K40" s="271">
        <f>IF('Proposed Rations'!E11*'Proposed Rations'!E$27*365/2000&gt;0, 'Proposed Rations'!E11*'Proposed Rations'!E$27*365/2000, 0)</f>
        <v>0</v>
      </c>
      <c r="L40" s="271">
        <f t="shared" si="37"/>
        <v>0</v>
      </c>
      <c r="M40" s="18" t="str">
        <f t="shared" si="38"/>
        <v/>
      </c>
      <c r="N40" s="271">
        <f>IF('Current Rations'!F11*'Current Rations'!F$27*365/2000&gt;0, 'Current Rations'!F11*'Current Rations'!F$27*365/2000, 0)</f>
        <v>0</v>
      </c>
      <c r="O40" s="271">
        <f>IF('Proposed Rations'!F11*'Proposed Rations'!F$27*365/2000&gt;0, 'Proposed Rations'!F11*'Proposed Rations'!F$27*365/2000, 0)</f>
        <v>0</v>
      </c>
      <c r="P40" s="271">
        <f t="shared" si="39"/>
        <v>0</v>
      </c>
      <c r="Q40" s="18" t="str">
        <f t="shared" si="40"/>
        <v/>
      </c>
      <c r="R40" s="271">
        <f>IF('Current Rations'!G11*'Current Rations'!G$27*365/2000&gt;0, 'Current Rations'!G11*'Current Rations'!G$27*365/2000, 0)</f>
        <v>0</v>
      </c>
      <c r="S40" s="271">
        <f>IF('Proposed Rations'!G11*'Proposed Rations'!G$27*365/2000&gt;0, 'Proposed Rations'!G11*'Proposed Rations'!G$27*365/2000, 0)</f>
        <v>0</v>
      </c>
      <c r="T40" s="271">
        <f t="shared" si="41"/>
        <v>0</v>
      </c>
      <c r="U40" s="18" t="str">
        <f t="shared" si="42"/>
        <v/>
      </c>
      <c r="V40" s="271">
        <f>IF('Current Rations'!H11*'Current Rations'!H$27*365/2000&gt;0, 'Current Rations'!H11*'Current Rations'!H$27*365/2000, 0)</f>
        <v>0</v>
      </c>
      <c r="W40" s="271">
        <f>IF('Proposed Rations'!H11*'Proposed Rations'!H$27*365/2000&gt;0, 'Proposed Rations'!H11*'Proposed Rations'!H$27*365/2000, 0)</f>
        <v>0</v>
      </c>
      <c r="X40" s="271">
        <f t="shared" si="43"/>
        <v>0</v>
      </c>
      <c r="Y40" s="18" t="str">
        <f t="shared" si="44"/>
        <v/>
      </c>
      <c r="Z40" s="271">
        <f>IF('Current Rations'!I11*'Current Rations'!I$27*365/2000&gt;0, 'Current Rations'!I11*'Current Rations'!I$27*365/2000, 0)</f>
        <v>0</v>
      </c>
      <c r="AA40" s="271">
        <f>IF('Proposed Rations'!I11*'Proposed Rations'!I$27*365/2000&gt;0, 'Proposed Rations'!I11*'Proposed Rations'!I$27*365/2000, 0)</f>
        <v>0</v>
      </c>
      <c r="AB40" s="271">
        <f t="shared" si="45"/>
        <v>0</v>
      </c>
      <c r="AC40" s="18" t="str">
        <f t="shared" si="46"/>
        <v/>
      </c>
      <c r="AD40" s="271">
        <f>IF('Current Rations'!J11*'Current Rations'!J$27*365/2000&gt;0, 'Current Rations'!J11*'Current Rations'!J$27*365/2000, 0)</f>
        <v>0</v>
      </c>
      <c r="AE40" s="271">
        <f>IF('Proposed Rations'!J11*'Proposed Rations'!J$27*365/2000&gt;0, 'Proposed Rations'!J11*'Proposed Rations'!J$27*365/2000, 0)</f>
        <v>0</v>
      </c>
      <c r="AF40" s="271">
        <f t="shared" si="47"/>
        <v>0</v>
      </c>
      <c r="AG40" s="18" t="str">
        <f t="shared" si="48"/>
        <v/>
      </c>
      <c r="AH40" s="271">
        <f>IF('Current Rations'!K11*'Current Rations'!K$27*365/2000&gt;0, 'Current Rations'!K11*'Current Rations'!K$27*365/2000, 0)</f>
        <v>0</v>
      </c>
      <c r="AI40" s="271">
        <f>IF('Proposed Rations'!K11*'Proposed Rations'!K$27*365/2000&gt;0, 'Proposed Rations'!K11*'Proposed Rations'!K$27*365/2000, 0)</f>
        <v>0</v>
      </c>
      <c r="AJ40" s="271">
        <f t="shared" si="49"/>
        <v>0</v>
      </c>
      <c r="AK40" s="18" t="str">
        <f t="shared" si="50"/>
        <v/>
      </c>
      <c r="AL40" s="271">
        <f>IF('Current Rations'!L11*'Current Rations'!L$27*365/2000&gt;0, 'Current Rations'!L11*'Current Rations'!L$27*365/2000, 0)</f>
        <v>0</v>
      </c>
      <c r="AM40" s="271">
        <f>IF('Proposed Rations'!L11*'Proposed Rations'!L$27*365/2000&gt;0, 'Proposed Rations'!L11*'Proposed Rations'!L$27*365/2000, 0)</f>
        <v>0</v>
      </c>
      <c r="AN40" s="271">
        <f t="shared" si="51"/>
        <v>0</v>
      </c>
      <c r="AO40" s="18" t="str">
        <f t="shared" si="52"/>
        <v/>
      </c>
      <c r="AP40" s="271" t="str">
        <f>IF(SUMPRODUCT('Current Rations'!C11:L11,'Current Rations'!C$27:L$27)*365/2000&gt;0,SUMPRODUCT('Current Rations'!C11:L11,'Current Rations'!C$27:L$27)*365/2000, "")</f>
        <v/>
      </c>
      <c r="AQ40" s="271" t="str">
        <f>IF(SUMPRODUCT('Proposed Rations'!C11:L11,'Proposed Rations'!C$27:L$27)*365/2000&gt;0,SUMPRODUCT('Proposed Rations'!C11:L11,'Proposed Rations'!C$27:L$27)*365/2000,"")</f>
        <v/>
      </c>
      <c r="AR40" s="271" t="str">
        <f t="shared" si="53"/>
        <v/>
      </c>
    </row>
    <row r="41" spans="1:44" x14ac:dyDescent="0.2">
      <c r="A41" s="18" t="str">
        <f>'Proposed Rations'!B12</f>
        <v/>
      </c>
      <c r="B41" s="271">
        <f>IF('Current Rations'!C12*'Current Rations'!C$27*365/2000&gt;0, 'Current Rations'!C12*'Current Rations'!C$27*365/2000, 0)</f>
        <v>0</v>
      </c>
      <c r="C41" s="271">
        <f>IF('Proposed Rations'!C12*'Proposed Rations'!C$27*365/2000&gt;0, 'Proposed Rations'!C12*'Proposed Rations'!C$27*365/2000, 0)</f>
        <v>0</v>
      </c>
      <c r="D41" s="271">
        <f t="shared" si="33"/>
        <v>0</v>
      </c>
      <c r="E41" s="18" t="str">
        <f t="shared" si="34"/>
        <v/>
      </c>
      <c r="F41" s="271">
        <f>IF('Current Rations'!D12*'Current Rations'!D$27*365/2000&gt;0, 'Current Rations'!D12*'Current Rations'!D$27*365/2000, 0)</f>
        <v>0</v>
      </c>
      <c r="G41" s="271">
        <f>IF('Proposed Rations'!D12*'Proposed Rations'!D$27*365/2000&gt;0, 'Proposed Rations'!D12*'Proposed Rations'!D$27*365/2000, 0)</f>
        <v>0</v>
      </c>
      <c r="H41" s="271">
        <f t="shared" si="35"/>
        <v>0</v>
      </c>
      <c r="I41" s="18" t="str">
        <f t="shared" si="36"/>
        <v/>
      </c>
      <c r="J41" s="271">
        <f>IF('Current Rations'!E12*'Current Rations'!E$27*365/2000&gt;0, 'Current Rations'!E12*'Current Rations'!E$27*365/2000, 0)</f>
        <v>0</v>
      </c>
      <c r="K41" s="271">
        <f>IF('Proposed Rations'!E12*'Proposed Rations'!E$27*365/2000&gt;0, 'Proposed Rations'!E12*'Proposed Rations'!E$27*365/2000, 0)</f>
        <v>0</v>
      </c>
      <c r="L41" s="271">
        <f t="shared" si="37"/>
        <v>0</v>
      </c>
      <c r="M41" s="18" t="str">
        <f t="shared" si="38"/>
        <v/>
      </c>
      <c r="N41" s="271">
        <f>IF('Current Rations'!F12*'Current Rations'!F$27*365/2000&gt;0, 'Current Rations'!F12*'Current Rations'!F$27*365/2000, 0)</f>
        <v>0</v>
      </c>
      <c r="O41" s="271">
        <f>IF('Proposed Rations'!F12*'Proposed Rations'!F$27*365/2000&gt;0, 'Proposed Rations'!F12*'Proposed Rations'!F$27*365/2000, 0)</f>
        <v>0</v>
      </c>
      <c r="P41" s="271">
        <f t="shared" si="39"/>
        <v>0</v>
      </c>
      <c r="Q41" s="18" t="str">
        <f t="shared" si="40"/>
        <v/>
      </c>
      <c r="R41" s="271">
        <f>IF('Current Rations'!G12*'Current Rations'!G$27*365/2000&gt;0, 'Current Rations'!G12*'Current Rations'!G$27*365/2000, 0)</f>
        <v>0</v>
      </c>
      <c r="S41" s="271">
        <f>IF('Proposed Rations'!G12*'Proposed Rations'!G$27*365/2000&gt;0, 'Proposed Rations'!G12*'Proposed Rations'!G$27*365/2000, 0)</f>
        <v>0</v>
      </c>
      <c r="T41" s="271">
        <f t="shared" si="41"/>
        <v>0</v>
      </c>
      <c r="U41" s="18" t="str">
        <f t="shared" si="42"/>
        <v/>
      </c>
      <c r="V41" s="271">
        <f>IF('Current Rations'!H12*'Current Rations'!H$27*365/2000&gt;0, 'Current Rations'!H12*'Current Rations'!H$27*365/2000, 0)</f>
        <v>0</v>
      </c>
      <c r="W41" s="271">
        <f>IF('Proposed Rations'!H12*'Proposed Rations'!H$27*365/2000&gt;0, 'Proposed Rations'!H12*'Proposed Rations'!H$27*365/2000, 0)</f>
        <v>0</v>
      </c>
      <c r="X41" s="271">
        <f t="shared" si="43"/>
        <v>0</v>
      </c>
      <c r="Y41" s="18" t="str">
        <f t="shared" si="44"/>
        <v/>
      </c>
      <c r="Z41" s="271">
        <f>IF('Current Rations'!I12*'Current Rations'!I$27*365/2000&gt;0, 'Current Rations'!I12*'Current Rations'!I$27*365/2000, 0)</f>
        <v>0</v>
      </c>
      <c r="AA41" s="271">
        <f>IF('Proposed Rations'!I12*'Proposed Rations'!I$27*365/2000&gt;0, 'Proposed Rations'!I12*'Proposed Rations'!I$27*365/2000, 0)</f>
        <v>0</v>
      </c>
      <c r="AB41" s="271">
        <f t="shared" si="45"/>
        <v>0</v>
      </c>
      <c r="AC41" s="18" t="str">
        <f t="shared" si="46"/>
        <v/>
      </c>
      <c r="AD41" s="271">
        <f>IF('Current Rations'!J12*'Current Rations'!J$27*365/2000&gt;0, 'Current Rations'!J12*'Current Rations'!J$27*365/2000, 0)</f>
        <v>0</v>
      </c>
      <c r="AE41" s="271">
        <f>IF('Proposed Rations'!J12*'Proposed Rations'!J$27*365/2000&gt;0, 'Proposed Rations'!J12*'Proposed Rations'!J$27*365/2000, 0)</f>
        <v>0</v>
      </c>
      <c r="AF41" s="271">
        <f t="shared" si="47"/>
        <v>0</v>
      </c>
      <c r="AG41" s="18" t="str">
        <f t="shared" si="48"/>
        <v/>
      </c>
      <c r="AH41" s="271">
        <f>IF('Current Rations'!K12*'Current Rations'!K$27*365/2000&gt;0, 'Current Rations'!K12*'Current Rations'!K$27*365/2000, 0)</f>
        <v>0</v>
      </c>
      <c r="AI41" s="271">
        <f>IF('Proposed Rations'!K12*'Proposed Rations'!K$27*365/2000&gt;0, 'Proposed Rations'!K12*'Proposed Rations'!K$27*365/2000, 0)</f>
        <v>0</v>
      </c>
      <c r="AJ41" s="271">
        <f t="shared" si="49"/>
        <v>0</v>
      </c>
      <c r="AK41" s="18" t="str">
        <f t="shared" si="50"/>
        <v/>
      </c>
      <c r="AL41" s="271">
        <f>IF('Current Rations'!L12*'Current Rations'!L$27*365/2000&gt;0, 'Current Rations'!L12*'Current Rations'!L$27*365/2000, 0)</f>
        <v>0</v>
      </c>
      <c r="AM41" s="271">
        <f>IF('Proposed Rations'!L12*'Proposed Rations'!L$27*365/2000&gt;0, 'Proposed Rations'!L12*'Proposed Rations'!L$27*365/2000, 0)</f>
        <v>0</v>
      </c>
      <c r="AN41" s="271">
        <f t="shared" si="51"/>
        <v>0</v>
      </c>
      <c r="AO41" s="18" t="str">
        <f t="shared" si="52"/>
        <v/>
      </c>
      <c r="AP41" s="271" t="str">
        <f>IF(SUMPRODUCT('Current Rations'!C12:L12,'Current Rations'!C$27:L$27)*365/2000&gt;0,SUMPRODUCT('Current Rations'!C12:L12,'Current Rations'!C$27:L$27)*365/2000, "")</f>
        <v/>
      </c>
      <c r="AQ41" s="271" t="str">
        <f>IF(SUMPRODUCT('Proposed Rations'!C12:L12,'Proposed Rations'!C$27:L$27)*365/2000&gt;0,SUMPRODUCT('Proposed Rations'!C12:L12,'Proposed Rations'!C$27:L$27)*365/2000,"")</f>
        <v/>
      </c>
      <c r="AR41" s="271" t="str">
        <f t="shared" si="53"/>
        <v/>
      </c>
    </row>
    <row r="42" spans="1:44" x14ac:dyDescent="0.2">
      <c r="A42" s="18" t="str">
        <f>'Proposed Rations'!B13</f>
        <v/>
      </c>
      <c r="B42" s="271">
        <f>IF('Current Rations'!C13*'Current Rations'!C$27*365/2000&gt;0, 'Current Rations'!C13*'Current Rations'!C$27*365/2000, 0)</f>
        <v>0</v>
      </c>
      <c r="C42" s="271">
        <f>IF('Proposed Rations'!C13*'Proposed Rations'!C$27*365/2000&gt;0, 'Proposed Rations'!C13*'Proposed Rations'!C$27*365/2000, 0)</f>
        <v>0</v>
      </c>
      <c r="D42" s="271">
        <f t="shared" si="33"/>
        <v>0</v>
      </c>
      <c r="E42" s="18" t="str">
        <f t="shared" si="34"/>
        <v/>
      </c>
      <c r="F42" s="271">
        <f>IF('Current Rations'!D13*'Current Rations'!D$27*365/2000&gt;0, 'Current Rations'!D13*'Current Rations'!D$27*365/2000, 0)</f>
        <v>0</v>
      </c>
      <c r="G42" s="271">
        <f>IF('Proposed Rations'!D13*'Proposed Rations'!D$27*365/2000&gt;0, 'Proposed Rations'!D13*'Proposed Rations'!D$27*365/2000, 0)</f>
        <v>0</v>
      </c>
      <c r="H42" s="271">
        <f t="shared" si="35"/>
        <v>0</v>
      </c>
      <c r="I42" s="18" t="str">
        <f t="shared" si="36"/>
        <v/>
      </c>
      <c r="J42" s="271">
        <f>IF('Current Rations'!E13*'Current Rations'!E$27*365/2000&gt;0, 'Current Rations'!E13*'Current Rations'!E$27*365/2000, 0)</f>
        <v>0</v>
      </c>
      <c r="K42" s="271">
        <f>IF('Proposed Rations'!E13*'Proposed Rations'!E$27*365/2000&gt;0, 'Proposed Rations'!E13*'Proposed Rations'!E$27*365/2000, 0)</f>
        <v>0</v>
      </c>
      <c r="L42" s="271">
        <f t="shared" si="37"/>
        <v>0</v>
      </c>
      <c r="M42" s="18" t="str">
        <f t="shared" si="38"/>
        <v/>
      </c>
      <c r="N42" s="271">
        <f>IF('Current Rations'!F13*'Current Rations'!F$27*365/2000&gt;0, 'Current Rations'!F13*'Current Rations'!F$27*365/2000, 0)</f>
        <v>0</v>
      </c>
      <c r="O42" s="271">
        <f>IF('Proposed Rations'!F13*'Proposed Rations'!F$27*365/2000&gt;0, 'Proposed Rations'!F13*'Proposed Rations'!F$27*365/2000, 0)</f>
        <v>0</v>
      </c>
      <c r="P42" s="271">
        <f t="shared" si="39"/>
        <v>0</v>
      </c>
      <c r="Q42" s="18" t="str">
        <f t="shared" si="40"/>
        <v/>
      </c>
      <c r="R42" s="271">
        <f>IF('Current Rations'!G13*'Current Rations'!G$27*365/2000&gt;0, 'Current Rations'!G13*'Current Rations'!G$27*365/2000, 0)</f>
        <v>0</v>
      </c>
      <c r="S42" s="271">
        <f>IF('Proposed Rations'!G13*'Proposed Rations'!G$27*365/2000&gt;0, 'Proposed Rations'!G13*'Proposed Rations'!G$27*365/2000, 0)</f>
        <v>0</v>
      </c>
      <c r="T42" s="271">
        <f t="shared" si="41"/>
        <v>0</v>
      </c>
      <c r="U42" s="18" t="str">
        <f t="shared" si="42"/>
        <v/>
      </c>
      <c r="V42" s="271">
        <f>IF('Current Rations'!H13*'Current Rations'!H$27*365/2000&gt;0, 'Current Rations'!H13*'Current Rations'!H$27*365/2000, 0)</f>
        <v>0</v>
      </c>
      <c r="W42" s="271">
        <f>IF('Proposed Rations'!H13*'Proposed Rations'!H$27*365/2000&gt;0, 'Proposed Rations'!H13*'Proposed Rations'!H$27*365/2000, 0)</f>
        <v>0</v>
      </c>
      <c r="X42" s="271">
        <f t="shared" si="43"/>
        <v>0</v>
      </c>
      <c r="Y42" s="18" t="str">
        <f t="shared" si="44"/>
        <v/>
      </c>
      <c r="Z42" s="271">
        <f>IF('Current Rations'!I13*'Current Rations'!I$27*365/2000&gt;0, 'Current Rations'!I13*'Current Rations'!I$27*365/2000, 0)</f>
        <v>0</v>
      </c>
      <c r="AA42" s="271">
        <f>IF('Proposed Rations'!I13*'Proposed Rations'!I$27*365/2000&gt;0, 'Proposed Rations'!I13*'Proposed Rations'!I$27*365/2000, 0)</f>
        <v>0</v>
      </c>
      <c r="AB42" s="271">
        <f t="shared" si="45"/>
        <v>0</v>
      </c>
      <c r="AC42" s="18" t="str">
        <f t="shared" si="46"/>
        <v/>
      </c>
      <c r="AD42" s="271">
        <f>IF('Current Rations'!J13*'Current Rations'!J$27*365/2000&gt;0, 'Current Rations'!J13*'Current Rations'!J$27*365/2000, 0)</f>
        <v>0</v>
      </c>
      <c r="AE42" s="271">
        <f>IF('Proposed Rations'!J13*'Proposed Rations'!J$27*365/2000&gt;0, 'Proposed Rations'!J13*'Proposed Rations'!J$27*365/2000, 0)</f>
        <v>0</v>
      </c>
      <c r="AF42" s="271">
        <f t="shared" si="47"/>
        <v>0</v>
      </c>
      <c r="AG42" s="18" t="str">
        <f t="shared" si="48"/>
        <v/>
      </c>
      <c r="AH42" s="271">
        <f>IF('Current Rations'!K13*'Current Rations'!K$27*365/2000&gt;0, 'Current Rations'!K13*'Current Rations'!K$27*365/2000, 0)</f>
        <v>0</v>
      </c>
      <c r="AI42" s="271">
        <f>IF('Proposed Rations'!K13*'Proposed Rations'!K$27*365/2000&gt;0, 'Proposed Rations'!K13*'Proposed Rations'!K$27*365/2000, 0)</f>
        <v>0</v>
      </c>
      <c r="AJ42" s="271">
        <f t="shared" si="49"/>
        <v>0</v>
      </c>
      <c r="AK42" s="18" t="str">
        <f t="shared" si="50"/>
        <v/>
      </c>
      <c r="AL42" s="271">
        <f>IF('Current Rations'!L13*'Current Rations'!L$27*365/2000&gt;0, 'Current Rations'!L13*'Current Rations'!L$27*365/2000, 0)</f>
        <v>0</v>
      </c>
      <c r="AM42" s="271">
        <f>IF('Proposed Rations'!L13*'Proposed Rations'!L$27*365/2000&gt;0, 'Proposed Rations'!L13*'Proposed Rations'!L$27*365/2000, 0)</f>
        <v>0</v>
      </c>
      <c r="AN42" s="271">
        <f t="shared" si="51"/>
        <v>0</v>
      </c>
      <c r="AO42" s="18" t="str">
        <f t="shared" si="52"/>
        <v/>
      </c>
      <c r="AP42" s="271" t="str">
        <f>IF(SUMPRODUCT('Current Rations'!C13:L13,'Current Rations'!C$27:L$27)*365/2000&gt;0,SUMPRODUCT('Current Rations'!C13:L13,'Current Rations'!C$27:L$27)*365/2000, "")</f>
        <v/>
      </c>
      <c r="AQ42" s="271" t="str">
        <f>IF(SUMPRODUCT('Proposed Rations'!C13:L13,'Proposed Rations'!C$27:L$27)*365/2000&gt;0,SUMPRODUCT('Proposed Rations'!C13:L13,'Proposed Rations'!C$27:L$27)*365/2000,"")</f>
        <v/>
      </c>
      <c r="AR42" s="271" t="str">
        <f t="shared" si="53"/>
        <v/>
      </c>
    </row>
    <row r="43" spans="1:44" x14ac:dyDescent="0.2">
      <c r="A43" s="18" t="str">
        <f>'Proposed Rations'!B14</f>
        <v/>
      </c>
      <c r="B43" s="271">
        <f>IF('Current Rations'!C14*'Current Rations'!C$27*365/2000&gt;0, 'Current Rations'!C14*'Current Rations'!C$27*365/2000, 0)</f>
        <v>0</v>
      </c>
      <c r="C43" s="271">
        <f>IF('Proposed Rations'!C14*'Proposed Rations'!C$27*365/2000&gt;0, 'Proposed Rations'!C14*'Proposed Rations'!C$27*365/2000, 0)</f>
        <v>0</v>
      </c>
      <c r="D43" s="271">
        <f t="shared" si="33"/>
        <v>0</v>
      </c>
      <c r="E43" s="18" t="str">
        <f t="shared" si="34"/>
        <v/>
      </c>
      <c r="F43" s="271">
        <f>IF('Current Rations'!D14*'Current Rations'!D$27*365/2000&gt;0, 'Current Rations'!D14*'Current Rations'!D$27*365/2000, 0)</f>
        <v>0</v>
      </c>
      <c r="G43" s="271">
        <f>IF('Proposed Rations'!D14*'Proposed Rations'!D$27*365/2000&gt;0, 'Proposed Rations'!D14*'Proposed Rations'!D$27*365/2000, 0)</f>
        <v>0</v>
      </c>
      <c r="H43" s="271">
        <f t="shared" si="35"/>
        <v>0</v>
      </c>
      <c r="I43" s="18" t="str">
        <f t="shared" si="36"/>
        <v/>
      </c>
      <c r="J43" s="271">
        <f>IF('Current Rations'!E14*'Current Rations'!E$27*365/2000&gt;0, 'Current Rations'!E14*'Current Rations'!E$27*365/2000, 0)</f>
        <v>0</v>
      </c>
      <c r="K43" s="271">
        <f>IF('Proposed Rations'!E14*'Proposed Rations'!E$27*365/2000&gt;0, 'Proposed Rations'!E14*'Proposed Rations'!E$27*365/2000, 0)</f>
        <v>0</v>
      </c>
      <c r="L43" s="271">
        <f t="shared" si="37"/>
        <v>0</v>
      </c>
      <c r="M43" s="18" t="str">
        <f t="shared" si="38"/>
        <v/>
      </c>
      <c r="N43" s="271">
        <f>IF('Current Rations'!F14*'Current Rations'!F$27*365/2000&gt;0, 'Current Rations'!F14*'Current Rations'!F$27*365/2000, 0)</f>
        <v>0</v>
      </c>
      <c r="O43" s="271">
        <f>IF('Proposed Rations'!F14*'Proposed Rations'!F$27*365/2000&gt;0, 'Proposed Rations'!F14*'Proposed Rations'!F$27*365/2000, 0)</f>
        <v>0</v>
      </c>
      <c r="P43" s="271">
        <f t="shared" si="39"/>
        <v>0</v>
      </c>
      <c r="Q43" s="18" t="str">
        <f t="shared" si="40"/>
        <v/>
      </c>
      <c r="R43" s="271">
        <f>IF('Current Rations'!G14*'Current Rations'!G$27*365/2000&gt;0, 'Current Rations'!G14*'Current Rations'!G$27*365/2000, 0)</f>
        <v>0</v>
      </c>
      <c r="S43" s="271">
        <f>IF('Proposed Rations'!G14*'Proposed Rations'!G$27*365/2000&gt;0, 'Proposed Rations'!G14*'Proposed Rations'!G$27*365/2000, 0)</f>
        <v>0</v>
      </c>
      <c r="T43" s="271">
        <f t="shared" si="41"/>
        <v>0</v>
      </c>
      <c r="U43" s="18" t="str">
        <f t="shared" si="42"/>
        <v/>
      </c>
      <c r="V43" s="271">
        <f>IF('Current Rations'!H14*'Current Rations'!H$27*365/2000&gt;0, 'Current Rations'!H14*'Current Rations'!H$27*365/2000, 0)</f>
        <v>0</v>
      </c>
      <c r="W43" s="271">
        <f>IF('Proposed Rations'!H14*'Proposed Rations'!H$27*365/2000&gt;0, 'Proposed Rations'!H14*'Proposed Rations'!H$27*365/2000, 0)</f>
        <v>0</v>
      </c>
      <c r="X43" s="271">
        <f t="shared" si="43"/>
        <v>0</v>
      </c>
      <c r="Y43" s="18" t="str">
        <f t="shared" si="44"/>
        <v/>
      </c>
      <c r="Z43" s="271">
        <f>IF('Current Rations'!I14*'Current Rations'!I$27*365/2000&gt;0, 'Current Rations'!I14*'Current Rations'!I$27*365/2000, 0)</f>
        <v>0</v>
      </c>
      <c r="AA43" s="271">
        <f>IF('Proposed Rations'!I14*'Proposed Rations'!I$27*365/2000&gt;0, 'Proposed Rations'!I14*'Proposed Rations'!I$27*365/2000, 0)</f>
        <v>0</v>
      </c>
      <c r="AB43" s="271">
        <f t="shared" si="45"/>
        <v>0</v>
      </c>
      <c r="AC43" s="18" t="str">
        <f t="shared" si="46"/>
        <v/>
      </c>
      <c r="AD43" s="271">
        <f>IF('Current Rations'!J14*'Current Rations'!J$27*365/2000&gt;0, 'Current Rations'!J14*'Current Rations'!J$27*365/2000, 0)</f>
        <v>0</v>
      </c>
      <c r="AE43" s="271">
        <f>IF('Proposed Rations'!J14*'Proposed Rations'!J$27*365/2000&gt;0, 'Proposed Rations'!J14*'Proposed Rations'!J$27*365/2000, 0)</f>
        <v>0</v>
      </c>
      <c r="AF43" s="271">
        <f t="shared" si="47"/>
        <v>0</v>
      </c>
      <c r="AG43" s="18" t="str">
        <f t="shared" si="48"/>
        <v/>
      </c>
      <c r="AH43" s="271">
        <f>IF('Current Rations'!K14*'Current Rations'!K$27*365/2000&gt;0, 'Current Rations'!K14*'Current Rations'!K$27*365/2000, 0)</f>
        <v>0</v>
      </c>
      <c r="AI43" s="271">
        <f>IF('Proposed Rations'!K14*'Proposed Rations'!K$27*365/2000&gt;0, 'Proposed Rations'!K14*'Proposed Rations'!K$27*365/2000, 0)</f>
        <v>0</v>
      </c>
      <c r="AJ43" s="271">
        <f t="shared" si="49"/>
        <v>0</v>
      </c>
      <c r="AK43" s="18" t="str">
        <f t="shared" si="50"/>
        <v/>
      </c>
      <c r="AL43" s="271">
        <f>IF('Current Rations'!L14*'Current Rations'!L$27*365/2000&gt;0, 'Current Rations'!L14*'Current Rations'!L$27*365/2000, 0)</f>
        <v>0</v>
      </c>
      <c r="AM43" s="271">
        <f>IF('Proposed Rations'!L14*'Proposed Rations'!L$27*365/2000&gt;0, 'Proposed Rations'!L14*'Proposed Rations'!L$27*365/2000, 0)</f>
        <v>0</v>
      </c>
      <c r="AN43" s="271">
        <f t="shared" si="51"/>
        <v>0</v>
      </c>
      <c r="AO43" s="18" t="str">
        <f t="shared" si="52"/>
        <v/>
      </c>
      <c r="AP43" s="271" t="str">
        <f>IF(SUMPRODUCT('Current Rations'!C14:L14,'Current Rations'!C$27:L$27)*365/2000&gt;0,SUMPRODUCT('Current Rations'!C14:L14,'Current Rations'!C$27:L$27)*365/2000, "")</f>
        <v/>
      </c>
      <c r="AQ43" s="271" t="str">
        <f>IF(SUMPRODUCT('Proposed Rations'!C14:L14,'Proposed Rations'!C$27:L$27)*365/2000&gt;0,SUMPRODUCT('Proposed Rations'!C14:L14,'Proposed Rations'!C$27:L$27)*365/2000,"")</f>
        <v/>
      </c>
      <c r="AR43" s="271" t="str">
        <f t="shared" si="53"/>
        <v/>
      </c>
    </row>
    <row r="44" spans="1:44" x14ac:dyDescent="0.2">
      <c r="A44" s="18" t="str">
        <f>'Proposed Rations'!B15</f>
        <v/>
      </c>
      <c r="B44" s="271">
        <f>IF('Current Rations'!C15*'Current Rations'!C$27*365/2000&gt;0, 'Current Rations'!C15*'Current Rations'!C$27*365/2000, 0)</f>
        <v>0</v>
      </c>
      <c r="C44" s="271">
        <f>IF('Proposed Rations'!C15*'Proposed Rations'!C$27*365/2000&gt;0, 'Proposed Rations'!C15*'Proposed Rations'!C$27*365/2000, 0)</f>
        <v>0</v>
      </c>
      <c r="D44" s="271">
        <f t="shared" si="33"/>
        <v>0</v>
      </c>
      <c r="E44" s="18" t="str">
        <f t="shared" si="34"/>
        <v/>
      </c>
      <c r="F44" s="271">
        <f>IF('Current Rations'!D15*'Current Rations'!D$27*365/2000&gt;0, 'Current Rations'!D15*'Current Rations'!D$27*365/2000, 0)</f>
        <v>0</v>
      </c>
      <c r="G44" s="271">
        <f>IF('Proposed Rations'!D15*'Proposed Rations'!D$27*365/2000&gt;0, 'Proposed Rations'!D15*'Proposed Rations'!D$27*365/2000, 0)</f>
        <v>0</v>
      </c>
      <c r="H44" s="271">
        <f t="shared" si="35"/>
        <v>0</v>
      </c>
      <c r="I44" s="18" t="str">
        <f t="shared" si="36"/>
        <v/>
      </c>
      <c r="J44" s="271">
        <f>IF('Current Rations'!E15*'Current Rations'!E$27*365/2000&gt;0, 'Current Rations'!E15*'Current Rations'!E$27*365/2000, 0)</f>
        <v>0</v>
      </c>
      <c r="K44" s="271">
        <f>IF('Proposed Rations'!E15*'Proposed Rations'!E$27*365/2000&gt;0, 'Proposed Rations'!E15*'Proposed Rations'!E$27*365/2000, 0)</f>
        <v>0</v>
      </c>
      <c r="L44" s="271">
        <f t="shared" si="37"/>
        <v>0</v>
      </c>
      <c r="M44" s="18" t="str">
        <f t="shared" si="38"/>
        <v/>
      </c>
      <c r="N44" s="271">
        <f>IF('Current Rations'!F15*'Current Rations'!F$27*365/2000&gt;0, 'Current Rations'!F15*'Current Rations'!F$27*365/2000, 0)</f>
        <v>0</v>
      </c>
      <c r="O44" s="271">
        <f>IF('Proposed Rations'!F15*'Proposed Rations'!F$27*365/2000&gt;0, 'Proposed Rations'!F15*'Proposed Rations'!F$27*365/2000, 0)</f>
        <v>0</v>
      </c>
      <c r="P44" s="271">
        <f t="shared" si="39"/>
        <v>0</v>
      </c>
      <c r="Q44" s="18" t="str">
        <f t="shared" si="40"/>
        <v/>
      </c>
      <c r="R44" s="271">
        <f>IF('Current Rations'!G15*'Current Rations'!G$27*365/2000&gt;0, 'Current Rations'!G15*'Current Rations'!G$27*365/2000, 0)</f>
        <v>0</v>
      </c>
      <c r="S44" s="271">
        <f>IF('Proposed Rations'!G15*'Proposed Rations'!G$27*365/2000&gt;0, 'Proposed Rations'!G15*'Proposed Rations'!G$27*365/2000, 0)</f>
        <v>0</v>
      </c>
      <c r="T44" s="271">
        <f t="shared" si="41"/>
        <v>0</v>
      </c>
      <c r="U44" s="18" t="str">
        <f t="shared" si="42"/>
        <v/>
      </c>
      <c r="V44" s="271">
        <f>IF('Current Rations'!H15*'Current Rations'!H$27*365/2000&gt;0, 'Current Rations'!H15*'Current Rations'!H$27*365/2000, 0)</f>
        <v>0</v>
      </c>
      <c r="W44" s="271">
        <f>IF('Proposed Rations'!H15*'Proposed Rations'!H$27*365/2000&gt;0, 'Proposed Rations'!H15*'Proposed Rations'!H$27*365/2000, 0)</f>
        <v>0</v>
      </c>
      <c r="X44" s="271">
        <f t="shared" si="43"/>
        <v>0</v>
      </c>
      <c r="Y44" s="18" t="str">
        <f t="shared" si="44"/>
        <v/>
      </c>
      <c r="Z44" s="271">
        <f>IF('Current Rations'!I15*'Current Rations'!I$27*365/2000&gt;0, 'Current Rations'!I15*'Current Rations'!I$27*365/2000, 0)</f>
        <v>0</v>
      </c>
      <c r="AA44" s="271">
        <f>IF('Proposed Rations'!I15*'Proposed Rations'!I$27*365/2000&gt;0, 'Proposed Rations'!I15*'Proposed Rations'!I$27*365/2000, 0)</f>
        <v>0</v>
      </c>
      <c r="AB44" s="271">
        <f t="shared" si="45"/>
        <v>0</v>
      </c>
      <c r="AC44" s="18" t="str">
        <f t="shared" si="46"/>
        <v/>
      </c>
      <c r="AD44" s="271">
        <f>IF('Current Rations'!J15*'Current Rations'!J$27*365/2000&gt;0, 'Current Rations'!J15*'Current Rations'!J$27*365/2000, 0)</f>
        <v>0</v>
      </c>
      <c r="AE44" s="271">
        <f>IF('Proposed Rations'!J15*'Proposed Rations'!J$27*365/2000&gt;0, 'Proposed Rations'!J15*'Proposed Rations'!J$27*365/2000, 0)</f>
        <v>0</v>
      </c>
      <c r="AF44" s="271">
        <f t="shared" si="47"/>
        <v>0</v>
      </c>
      <c r="AG44" s="18" t="str">
        <f t="shared" si="48"/>
        <v/>
      </c>
      <c r="AH44" s="271">
        <f>IF('Current Rations'!K15*'Current Rations'!K$27*365/2000&gt;0, 'Current Rations'!K15*'Current Rations'!K$27*365/2000, 0)</f>
        <v>0</v>
      </c>
      <c r="AI44" s="271">
        <f>IF('Proposed Rations'!K15*'Proposed Rations'!K$27*365/2000&gt;0, 'Proposed Rations'!K15*'Proposed Rations'!K$27*365/2000, 0)</f>
        <v>0</v>
      </c>
      <c r="AJ44" s="271">
        <f t="shared" si="49"/>
        <v>0</v>
      </c>
      <c r="AK44" s="18" t="str">
        <f t="shared" si="50"/>
        <v/>
      </c>
      <c r="AL44" s="271">
        <f>IF('Current Rations'!L15*'Current Rations'!L$27*365/2000&gt;0, 'Current Rations'!L15*'Current Rations'!L$27*365/2000, 0)</f>
        <v>0</v>
      </c>
      <c r="AM44" s="271">
        <f>IF('Proposed Rations'!L15*'Proposed Rations'!L$27*365/2000&gt;0, 'Proposed Rations'!L15*'Proposed Rations'!L$27*365/2000, 0)</f>
        <v>0</v>
      </c>
      <c r="AN44" s="271">
        <f t="shared" si="51"/>
        <v>0</v>
      </c>
      <c r="AO44" s="18" t="str">
        <f t="shared" si="52"/>
        <v/>
      </c>
      <c r="AP44" s="271" t="str">
        <f>IF(SUMPRODUCT('Current Rations'!C15:L15,'Current Rations'!C$27:L$27)*365/2000&gt;0,SUMPRODUCT('Current Rations'!C15:L15,'Current Rations'!C$27:L$27)*365/2000, "")</f>
        <v/>
      </c>
      <c r="AQ44" s="271" t="str">
        <f>IF(SUMPRODUCT('Proposed Rations'!C15:L15,'Proposed Rations'!C$27:L$27)*365/2000&gt;0,SUMPRODUCT('Proposed Rations'!C15:L15,'Proposed Rations'!C$27:L$27)*365/2000,"")</f>
        <v/>
      </c>
      <c r="AR44" s="271" t="str">
        <f t="shared" si="53"/>
        <v/>
      </c>
    </row>
    <row r="45" spans="1:44" x14ac:dyDescent="0.2">
      <c r="A45" s="18" t="str">
        <f>'Proposed Rations'!B16</f>
        <v/>
      </c>
      <c r="B45" s="271">
        <f>IF('Current Rations'!C16*'Current Rations'!C$27*365/2000&gt;0, 'Current Rations'!C16*'Current Rations'!C$27*365/2000, 0)</f>
        <v>0</v>
      </c>
      <c r="C45" s="271">
        <f>IF('Proposed Rations'!C16*'Proposed Rations'!C$27*365/2000&gt;0, 'Proposed Rations'!C16*'Proposed Rations'!C$27*365/2000, 0)</f>
        <v>0</v>
      </c>
      <c r="D45" s="271">
        <f t="shared" si="33"/>
        <v>0</v>
      </c>
      <c r="E45" s="18" t="str">
        <f t="shared" si="34"/>
        <v/>
      </c>
      <c r="F45" s="271">
        <f>IF('Current Rations'!D16*'Current Rations'!D$27*365/2000&gt;0, 'Current Rations'!D16*'Current Rations'!D$27*365/2000, 0)</f>
        <v>0</v>
      </c>
      <c r="G45" s="271">
        <f>IF('Proposed Rations'!D16*'Proposed Rations'!D$27*365/2000&gt;0, 'Proposed Rations'!D16*'Proposed Rations'!D$27*365/2000, 0)</f>
        <v>0</v>
      </c>
      <c r="H45" s="271">
        <f t="shared" si="35"/>
        <v>0</v>
      </c>
      <c r="I45" s="18" t="str">
        <f t="shared" si="36"/>
        <v/>
      </c>
      <c r="J45" s="271">
        <f>IF('Current Rations'!E16*'Current Rations'!E$27*365/2000&gt;0, 'Current Rations'!E16*'Current Rations'!E$27*365/2000, 0)</f>
        <v>0</v>
      </c>
      <c r="K45" s="271">
        <f>IF('Proposed Rations'!E16*'Proposed Rations'!E$27*365/2000&gt;0, 'Proposed Rations'!E16*'Proposed Rations'!E$27*365/2000, 0)</f>
        <v>0</v>
      </c>
      <c r="L45" s="271">
        <f t="shared" si="37"/>
        <v>0</v>
      </c>
      <c r="M45" s="18" t="str">
        <f t="shared" si="38"/>
        <v/>
      </c>
      <c r="N45" s="271">
        <f>IF('Current Rations'!F16*'Current Rations'!F$27*365/2000&gt;0, 'Current Rations'!F16*'Current Rations'!F$27*365/2000, 0)</f>
        <v>0</v>
      </c>
      <c r="O45" s="271">
        <f>IF('Proposed Rations'!F16*'Proposed Rations'!F$27*365/2000&gt;0, 'Proposed Rations'!F16*'Proposed Rations'!F$27*365/2000, 0)</f>
        <v>0</v>
      </c>
      <c r="P45" s="271">
        <f t="shared" si="39"/>
        <v>0</v>
      </c>
      <c r="Q45" s="18" t="str">
        <f t="shared" si="40"/>
        <v/>
      </c>
      <c r="R45" s="271">
        <f>IF('Current Rations'!G16*'Current Rations'!G$27*365/2000&gt;0, 'Current Rations'!G16*'Current Rations'!G$27*365/2000, 0)</f>
        <v>0</v>
      </c>
      <c r="S45" s="271">
        <f>IF('Proposed Rations'!G16*'Proposed Rations'!G$27*365/2000&gt;0, 'Proposed Rations'!G16*'Proposed Rations'!G$27*365/2000, 0)</f>
        <v>0</v>
      </c>
      <c r="T45" s="271">
        <f t="shared" si="41"/>
        <v>0</v>
      </c>
      <c r="U45" s="18" t="str">
        <f t="shared" si="42"/>
        <v/>
      </c>
      <c r="V45" s="271">
        <f>IF('Current Rations'!H16*'Current Rations'!H$27*365/2000&gt;0, 'Current Rations'!H16*'Current Rations'!H$27*365/2000, 0)</f>
        <v>0</v>
      </c>
      <c r="W45" s="271">
        <f>IF('Proposed Rations'!H16*'Proposed Rations'!H$27*365/2000&gt;0, 'Proposed Rations'!H16*'Proposed Rations'!H$27*365/2000, 0)</f>
        <v>0</v>
      </c>
      <c r="X45" s="271">
        <f t="shared" si="43"/>
        <v>0</v>
      </c>
      <c r="Y45" s="18" t="str">
        <f t="shared" si="44"/>
        <v/>
      </c>
      <c r="Z45" s="271">
        <f>IF('Current Rations'!I16*'Current Rations'!I$27*365/2000&gt;0, 'Current Rations'!I16*'Current Rations'!I$27*365/2000, 0)</f>
        <v>0</v>
      </c>
      <c r="AA45" s="271">
        <f>IF('Proposed Rations'!I16*'Proposed Rations'!I$27*365/2000&gt;0, 'Proposed Rations'!I16*'Proposed Rations'!I$27*365/2000, 0)</f>
        <v>0</v>
      </c>
      <c r="AB45" s="271">
        <f t="shared" si="45"/>
        <v>0</v>
      </c>
      <c r="AC45" s="18" t="str">
        <f t="shared" si="46"/>
        <v/>
      </c>
      <c r="AD45" s="271">
        <f>IF('Current Rations'!J16*'Current Rations'!J$27*365/2000&gt;0, 'Current Rations'!J16*'Current Rations'!J$27*365/2000, 0)</f>
        <v>0</v>
      </c>
      <c r="AE45" s="271">
        <f>IF('Proposed Rations'!J16*'Proposed Rations'!J$27*365/2000&gt;0, 'Proposed Rations'!J16*'Proposed Rations'!J$27*365/2000, 0)</f>
        <v>0</v>
      </c>
      <c r="AF45" s="271">
        <f t="shared" si="47"/>
        <v>0</v>
      </c>
      <c r="AG45" s="18" t="str">
        <f t="shared" si="48"/>
        <v/>
      </c>
      <c r="AH45" s="271">
        <f>IF('Current Rations'!K16*'Current Rations'!K$27*365/2000&gt;0, 'Current Rations'!K16*'Current Rations'!K$27*365/2000, 0)</f>
        <v>0</v>
      </c>
      <c r="AI45" s="271">
        <f>IF('Proposed Rations'!K16*'Proposed Rations'!K$27*365/2000&gt;0, 'Proposed Rations'!K16*'Proposed Rations'!K$27*365/2000, 0)</f>
        <v>0</v>
      </c>
      <c r="AJ45" s="271">
        <f t="shared" si="49"/>
        <v>0</v>
      </c>
      <c r="AK45" s="18" t="str">
        <f t="shared" si="50"/>
        <v/>
      </c>
      <c r="AL45" s="271">
        <f>IF('Current Rations'!L16*'Current Rations'!L$27*365/2000&gt;0, 'Current Rations'!L16*'Current Rations'!L$27*365/2000, 0)</f>
        <v>0</v>
      </c>
      <c r="AM45" s="271">
        <f>IF('Proposed Rations'!L16*'Proposed Rations'!L$27*365/2000&gt;0, 'Proposed Rations'!L16*'Proposed Rations'!L$27*365/2000, 0)</f>
        <v>0</v>
      </c>
      <c r="AN45" s="271">
        <f t="shared" si="51"/>
        <v>0</v>
      </c>
      <c r="AO45" s="18" t="str">
        <f t="shared" si="52"/>
        <v/>
      </c>
      <c r="AP45" s="271" t="str">
        <f>IF(SUMPRODUCT('Current Rations'!C16:L16,'Current Rations'!C$27:L$27)*365/2000&gt;0,SUMPRODUCT('Current Rations'!C16:L16,'Current Rations'!C$27:L$27)*365/2000, "")</f>
        <v/>
      </c>
      <c r="AQ45" s="271" t="str">
        <f>IF(SUMPRODUCT('Proposed Rations'!C16:L16,'Proposed Rations'!C$27:L$27)*365/2000&gt;0,SUMPRODUCT('Proposed Rations'!C16:L16,'Proposed Rations'!C$27:L$27)*365/2000,"")</f>
        <v/>
      </c>
      <c r="AR45" s="271" t="str">
        <f t="shared" si="53"/>
        <v/>
      </c>
    </row>
    <row r="46" spans="1:44" x14ac:dyDescent="0.2">
      <c r="A46" s="18" t="str">
        <f>'Proposed Rations'!B17</f>
        <v/>
      </c>
      <c r="B46" s="271">
        <f>IF('Current Rations'!C17*'Current Rations'!C$27*365/2000&gt;0, 'Current Rations'!C17*'Current Rations'!C$27*365/2000, 0)</f>
        <v>0</v>
      </c>
      <c r="C46" s="271">
        <f>IF('Proposed Rations'!C17*'Proposed Rations'!C$27*365/2000&gt;0, 'Proposed Rations'!C17*'Proposed Rations'!C$27*365/2000, 0)</f>
        <v>0</v>
      </c>
      <c r="D46" s="271">
        <f t="shared" si="33"/>
        <v>0</v>
      </c>
      <c r="E46" s="18" t="str">
        <f t="shared" si="34"/>
        <v/>
      </c>
      <c r="F46" s="271">
        <f>IF('Current Rations'!D17*'Current Rations'!D$27*365/2000&gt;0, 'Current Rations'!D17*'Current Rations'!D$27*365/2000, 0)</f>
        <v>0</v>
      </c>
      <c r="G46" s="271">
        <f>IF('Proposed Rations'!D17*'Proposed Rations'!D$27*365/2000&gt;0, 'Proposed Rations'!D17*'Proposed Rations'!D$27*365/2000, 0)</f>
        <v>0</v>
      </c>
      <c r="H46" s="271">
        <f t="shared" si="35"/>
        <v>0</v>
      </c>
      <c r="I46" s="18" t="str">
        <f t="shared" si="36"/>
        <v/>
      </c>
      <c r="J46" s="271">
        <f>IF('Current Rations'!E17*'Current Rations'!E$27*365/2000&gt;0, 'Current Rations'!E17*'Current Rations'!E$27*365/2000, 0)</f>
        <v>0</v>
      </c>
      <c r="K46" s="271">
        <f>IF('Proposed Rations'!E17*'Proposed Rations'!E$27*365/2000&gt;0, 'Proposed Rations'!E17*'Proposed Rations'!E$27*365/2000, 0)</f>
        <v>0</v>
      </c>
      <c r="L46" s="271">
        <f t="shared" si="37"/>
        <v>0</v>
      </c>
      <c r="M46" s="18" t="str">
        <f t="shared" si="38"/>
        <v/>
      </c>
      <c r="N46" s="271">
        <f>IF('Current Rations'!F17*'Current Rations'!F$27*365/2000&gt;0, 'Current Rations'!F17*'Current Rations'!F$27*365/2000, 0)</f>
        <v>0</v>
      </c>
      <c r="O46" s="271">
        <f>IF('Proposed Rations'!F17*'Proposed Rations'!F$27*365/2000&gt;0, 'Proposed Rations'!F17*'Proposed Rations'!F$27*365/2000, 0)</f>
        <v>0</v>
      </c>
      <c r="P46" s="271">
        <f t="shared" si="39"/>
        <v>0</v>
      </c>
      <c r="Q46" s="18" t="str">
        <f t="shared" si="40"/>
        <v/>
      </c>
      <c r="R46" s="271">
        <f>IF('Current Rations'!G17*'Current Rations'!G$27*365/2000&gt;0, 'Current Rations'!G17*'Current Rations'!G$27*365/2000, 0)</f>
        <v>0</v>
      </c>
      <c r="S46" s="271">
        <f>IF('Proposed Rations'!G17*'Proposed Rations'!G$27*365/2000&gt;0, 'Proposed Rations'!G17*'Proposed Rations'!G$27*365/2000, 0)</f>
        <v>0</v>
      </c>
      <c r="T46" s="271">
        <f t="shared" si="41"/>
        <v>0</v>
      </c>
      <c r="U46" s="18" t="str">
        <f t="shared" si="42"/>
        <v/>
      </c>
      <c r="V46" s="271">
        <f>IF('Current Rations'!H17*'Current Rations'!H$27*365/2000&gt;0, 'Current Rations'!H17*'Current Rations'!H$27*365/2000, 0)</f>
        <v>0</v>
      </c>
      <c r="W46" s="271">
        <f>IF('Proposed Rations'!H17*'Proposed Rations'!H$27*365/2000&gt;0, 'Proposed Rations'!H17*'Proposed Rations'!H$27*365/2000, 0)</f>
        <v>0</v>
      </c>
      <c r="X46" s="271">
        <f t="shared" si="43"/>
        <v>0</v>
      </c>
      <c r="Y46" s="18" t="str">
        <f t="shared" si="44"/>
        <v/>
      </c>
      <c r="Z46" s="271">
        <f>IF('Current Rations'!I17*'Current Rations'!I$27*365/2000&gt;0, 'Current Rations'!I17*'Current Rations'!I$27*365/2000, 0)</f>
        <v>0</v>
      </c>
      <c r="AA46" s="271">
        <f>IF('Proposed Rations'!I17*'Proposed Rations'!I$27*365/2000&gt;0, 'Proposed Rations'!I17*'Proposed Rations'!I$27*365/2000, 0)</f>
        <v>0</v>
      </c>
      <c r="AB46" s="271">
        <f t="shared" si="45"/>
        <v>0</v>
      </c>
      <c r="AC46" s="18" t="str">
        <f t="shared" si="46"/>
        <v/>
      </c>
      <c r="AD46" s="271">
        <f>IF('Current Rations'!J17*'Current Rations'!J$27*365/2000&gt;0, 'Current Rations'!J17*'Current Rations'!J$27*365/2000, 0)</f>
        <v>0</v>
      </c>
      <c r="AE46" s="271">
        <f>IF('Proposed Rations'!J17*'Proposed Rations'!J$27*365/2000&gt;0, 'Proposed Rations'!J17*'Proposed Rations'!J$27*365/2000, 0)</f>
        <v>0</v>
      </c>
      <c r="AF46" s="271">
        <f t="shared" si="47"/>
        <v>0</v>
      </c>
      <c r="AG46" s="18" t="str">
        <f t="shared" si="48"/>
        <v/>
      </c>
      <c r="AH46" s="271">
        <f>IF('Current Rations'!K17*'Current Rations'!K$27*365/2000&gt;0, 'Current Rations'!K17*'Current Rations'!K$27*365/2000, 0)</f>
        <v>0</v>
      </c>
      <c r="AI46" s="271">
        <f>IF('Proposed Rations'!K17*'Proposed Rations'!K$27*365/2000&gt;0, 'Proposed Rations'!K17*'Proposed Rations'!K$27*365/2000, 0)</f>
        <v>0</v>
      </c>
      <c r="AJ46" s="271">
        <f t="shared" si="49"/>
        <v>0</v>
      </c>
      <c r="AK46" s="18" t="str">
        <f t="shared" si="50"/>
        <v/>
      </c>
      <c r="AL46" s="271">
        <f>IF('Current Rations'!L17*'Current Rations'!L$27*365/2000&gt;0, 'Current Rations'!L17*'Current Rations'!L$27*365/2000, 0)</f>
        <v>0</v>
      </c>
      <c r="AM46" s="271">
        <f>IF('Proposed Rations'!L17*'Proposed Rations'!L$27*365/2000&gt;0, 'Proposed Rations'!L17*'Proposed Rations'!L$27*365/2000, 0)</f>
        <v>0</v>
      </c>
      <c r="AN46" s="271">
        <f t="shared" si="51"/>
        <v>0</v>
      </c>
      <c r="AO46" s="18" t="str">
        <f t="shared" si="52"/>
        <v/>
      </c>
      <c r="AP46" s="271" t="str">
        <f>IF(SUMPRODUCT('Current Rations'!C17:L17,'Current Rations'!C$27:L$27)*365/2000&gt;0,SUMPRODUCT('Current Rations'!C17:L17,'Current Rations'!C$27:L$27)*365/2000, "")</f>
        <v/>
      </c>
      <c r="AQ46" s="271" t="str">
        <f>IF(SUMPRODUCT('Proposed Rations'!C17:L17,'Proposed Rations'!C$27:L$27)*365/2000&gt;0,SUMPRODUCT('Proposed Rations'!C17:L17,'Proposed Rations'!C$27:L$27)*365/2000,"")</f>
        <v/>
      </c>
      <c r="AR46" s="271" t="str">
        <f t="shared" si="53"/>
        <v/>
      </c>
    </row>
    <row r="47" spans="1:44" x14ac:dyDescent="0.2">
      <c r="A47" s="18" t="str">
        <f>'Proposed Rations'!B18</f>
        <v/>
      </c>
      <c r="B47" s="271">
        <f>IF('Current Rations'!C18*'Current Rations'!C$27*365/2000&gt;0, 'Current Rations'!C18*'Current Rations'!C$27*365/2000, 0)</f>
        <v>0</v>
      </c>
      <c r="C47" s="271">
        <f>IF('Proposed Rations'!C18*'Proposed Rations'!C$27*365/2000&gt;0, 'Proposed Rations'!C18*'Proposed Rations'!C$27*365/2000, 0)</f>
        <v>0</v>
      </c>
      <c r="D47" s="271">
        <f t="shared" si="33"/>
        <v>0</v>
      </c>
      <c r="E47" s="18" t="str">
        <f t="shared" si="34"/>
        <v/>
      </c>
      <c r="F47" s="271">
        <f>IF('Current Rations'!D18*'Current Rations'!D$27*365/2000&gt;0, 'Current Rations'!D18*'Current Rations'!D$27*365/2000, 0)</f>
        <v>0</v>
      </c>
      <c r="G47" s="271">
        <f>IF('Proposed Rations'!D18*'Proposed Rations'!D$27*365/2000&gt;0, 'Proposed Rations'!D18*'Proposed Rations'!D$27*365/2000, 0)</f>
        <v>0</v>
      </c>
      <c r="H47" s="271">
        <f t="shared" si="35"/>
        <v>0</v>
      </c>
      <c r="I47" s="18" t="str">
        <f t="shared" si="36"/>
        <v/>
      </c>
      <c r="J47" s="271">
        <f>IF('Current Rations'!E18*'Current Rations'!E$27*365/2000&gt;0, 'Current Rations'!E18*'Current Rations'!E$27*365/2000, 0)</f>
        <v>0</v>
      </c>
      <c r="K47" s="271">
        <f>IF('Proposed Rations'!E18*'Proposed Rations'!E$27*365/2000&gt;0, 'Proposed Rations'!E18*'Proposed Rations'!E$27*365/2000, 0)</f>
        <v>0</v>
      </c>
      <c r="L47" s="271">
        <f t="shared" si="37"/>
        <v>0</v>
      </c>
      <c r="M47" s="18" t="str">
        <f t="shared" si="38"/>
        <v/>
      </c>
      <c r="N47" s="271">
        <f>IF('Current Rations'!F18*'Current Rations'!F$27*365/2000&gt;0, 'Current Rations'!F18*'Current Rations'!F$27*365/2000, 0)</f>
        <v>0</v>
      </c>
      <c r="O47" s="271">
        <f>IF('Proposed Rations'!F18*'Proposed Rations'!F$27*365/2000&gt;0, 'Proposed Rations'!F18*'Proposed Rations'!F$27*365/2000, 0)</f>
        <v>0</v>
      </c>
      <c r="P47" s="271">
        <f t="shared" si="39"/>
        <v>0</v>
      </c>
      <c r="Q47" s="18" t="str">
        <f t="shared" si="40"/>
        <v/>
      </c>
      <c r="R47" s="271">
        <f>IF('Current Rations'!G18*'Current Rations'!G$27*365/2000&gt;0, 'Current Rations'!G18*'Current Rations'!G$27*365/2000, 0)</f>
        <v>0</v>
      </c>
      <c r="S47" s="271">
        <f>IF('Proposed Rations'!G18*'Proposed Rations'!G$27*365/2000&gt;0, 'Proposed Rations'!G18*'Proposed Rations'!G$27*365/2000, 0)</f>
        <v>0</v>
      </c>
      <c r="T47" s="271">
        <f t="shared" si="41"/>
        <v>0</v>
      </c>
      <c r="U47" s="18" t="str">
        <f t="shared" si="42"/>
        <v/>
      </c>
      <c r="V47" s="271">
        <f>IF('Current Rations'!H18*'Current Rations'!H$27*365/2000&gt;0, 'Current Rations'!H18*'Current Rations'!H$27*365/2000, 0)</f>
        <v>0</v>
      </c>
      <c r="W47" s="271">
        <f>IF('Proposed Rations'!H18*'Proposed Rations'!H$27*365/2000&gt;0, 'Proposed Rations'!H18*'Proposed Rations'!H$27*365/2000, 0)</f>
        <v>0</v>
      </c>
      <c r="X47" s="271">
        <f t="shared" si="43"/>
        <v>0</v>
      </c>
      <c r="Y47" s="18" t="str">
        <f t="shared" si="44"/>
        <v/>
      </c>
      <c r="Z47" s="271">
        <f>IF('Current Rations'!I18*'Current Rations'!I$27*365/2000&gt;0, 'Current Rations'!I18*'Current Rations'!I$27*365/2000, 0)</f>
        <v>0</v>
      </c>
      <c r="AA47" s="271">
        <f>IF('Proposed Rations'!I18*'Proposed Rations'!I$27*365/2000&gt;0, 'Proposed Rations'!I18*'Proposed Rations'!I$27*365/2000, 0)</f>
        <v>0</v>
      </c>
      <c r="AB47" s="271">
        <f t="shared" si="45"/>
        <v>0</v>
      </c>
      <c r="AC47" s="18" t="str">
        <f t="shared" si="46"/>
        <v/>
      </c>
      <c r="AD47" s="271">
        <f>IF('Current Rations'!J18*'Current Rations'!J$27*365/2000&gt;0, 'Current Rations'!J18*'Current Rations'!J$27*365/2000, 0)</f>
        <v>0</v>
      </c>
      <c r="AE47" s="271">
        <f>IF('Proposed Rations'!J18*'Proposed Rations'!J$27*365/2000&gt;0, 'Proposed Rations'!J18*'Proposed Rations'!J$27*365/2000, 0)</f>
        <v>0</v>
      </c>
      <c r="AF47" s="271">
        <f t="shared" si="47"/>
        <v>0</v>
      </c>
      <c r="AG47" s="18" t="str">
        <f t="shared" si="48"/>
        <v/>
      </c>
      <c r="AH47" s="271">
        <f>IF('Current Rations'!K18*'Current Rations'!K$27*365/2000&gt;0, 'Current Rations'!K18*'Current Rations'!K$27*365/2000, 0)</f>
        <v>0</v>
      </c>
      <c r="AI47" s="271">
        <f>IF('Proposed Rations'!K18*'Proposed Rations'!K$27*365/2000&gt;0, 'Proposed Rations'!K18*'Proposed Rations'!K$27*365/2000, 0)</f>
        <v>0</v>
      </c>
      <c r="AJ47" s="271">
        <f t="shared" si="49"/>
        <v>0</v>
      </c>
      <c r="AK47" s="18" t="str">
        <f t="shared" si="50"/>
        <v/>
      </c>
      <c r="AL47" s="271">
        <f>IF('Current Rations'!L18*'Current Rations'!L$27*365/2000&gt;0, 'Current Rations'!L18*'Current Rations'!L$27*365/2000, 0)</f>
        <v>0</v>
      </c>
      <c r="AM47" s="271">
        <f>IF('Proposed Rations'!L18*'Proposed Rations'!L$27*365/2000&gt;0, 'Proposed Rations'!L18*'Proposed Rations'!L$27*365/2000, 0)</f>
        <v>0</v>
      </c>
      <c r="AN47" s="271">
        <f t="shared" si="51"/>
        <v>0</v>
      </c>
      <c r="AO47" s="18" t="str">
        <f t="shared" si="52"/>
        <v/>
      </c>
      <c r="AP47" s="271" t="str">
        <f>IF(SUMPRODUCT('Current Rations'!C18:L18,'Current Rations'!C$27:L$27)*365/2000&gt;0,SUMPRODUCT('Current Rations'!C18:L18,'Current Rations'!C$27:L$27)*365/2000, "")</f>
        <v/>
      </c>
      <c r="AQ47" s="271" t="str">
        <f>IF(SUMPRODUCT('Proposed Rations'!C18:L18,'Proposed Rations'!C$27:L$27)*365/2000&gt;0,SUMPRODUCT('Proposed Rations'!C18:L18,'Proposed Rations'!C$27:L$27)*365/2000,"")</f>
        <v/>
      </c>
      <c r="AR47" s="271" t="str">
        <f t="shared" si="53"/>
        <v/>
      </c>
    </row>
    <row r="48" spans="1:44" x14ac:dyDescent="0.2">
      <c r="A48" s="18" t="str">
        <f>'Proposed Rations'!B19</f>
        <v/>
      </c>
      <c r="B48" s="271">
        <f>IF('Current Rations'!C19*'Current Rations'!C$27*365/2000&gt;0, 'Current Rations'!C19*'Current Rations'!C$27*365/2000, 0)</f>
        <v>0</v>
      </c>
      <c r="C48" s="271">
        <f>IF('Proposed Rations'!C19*'Proposed Rations'!C$27*365/2000&gt;0, 'Proposed Rations'!C19*'Proposed Rations'!C$27*365/2000, 0)</f>
        <v>0</v>
      </c>
      <c r="D48" s="271">
        <f t="shared" si="33"/>
        <v>0</v>
      </c>
      <c r="E48" s="18" t="str">
        <f t="shared" si="34"/>
        <v/>
      </c>
      <c r="F48" s="271">
        <f>IF('Current Rations'!D19*'Current Rations'!D$27*365/2000&gt;0, 'Current Rations'!D19*'Current Rations'!D$27*365/2000, 0)</f>
        <v>0</v>
      </c>
      <c r="G48" s="271">
        <f>IF('Proposed Rations'!D19*'Proposed Rations'!D$27*365/2000&gt;0, 'Proposed Rations'!D19*'Proposed Rations'!D$27*365/2000, 0)</f>
        <v>0</v>
      </c>
      <c r="H48" s="271">
        <f t="shared" si="35"/>
        <v>0</v>
      </c>
      <c r="I48" s="18" t="str">
        <f t="shared" si="36"/>
        <v/>
      </c>
      <c r="J48" s="271">
        <f>IF('Current Rations'!E19*'Current Rations'!E$27*365/2000&gt;0, 'Current Rations'!E19*'Current Rations'!E$27*365/2000, 0)</f>
        <v>0</v>
      </c>
      <c r="K48" s="271">
        <f>IF('Proposed Rations'!E19*'Proposed Rations'!E$27*365/2000&gt;0, 'Proposed Rations'!E19*'Proposed Rations'!E$27*365/2000, 0)</f>
        <v>0</v>
      </c>
      <c r="L48" s="271">
        <f t="shared" si="37"/>
        <v>0</v>
      </c>
      <c r="M48" s="18" t="str">
        <f t="shared" si="38"/>
        <v/>
      </c>
      <c r="N48" s="271">
        <f>IF('Current Rations'!F19*'Current Rations'!F$27*365/2000&gt;0, 'Current Rations'!F19*'Current Rations'!F$27*365/2000, 0)</f>
        <v>0</v>
      </c>
      <c r="O48" s="271">
        <f>IF('Proposed Rations'!F19*'Proposed Rations'!F$27*365/2000&gt;0, 'Proposed Rations'!F19*'Proposed Rations'!F$27*365/2000, 0)</f>
        <v>0</v>
      </c>
      <c r="P48" s="271">
        <f t="shared" si="39"/>
        <v>0</v>
      </c>
      <c r="Q48" s="18" t="str">
        <f t="shared" si="40"/>
        <v/>
      </c>
      <c r="R48" s="271">
        <f>IF('Current Rations'!G19*'Current Rations'!G$27*365/2000&gt;0, 'Current Rations'!G19*'Current Rations'!G$27*365/2000, 0)</f>
        <v>0</v>
      </c>
      <c r="S48" s="271">
        <f>IF('Proposed Rations'!G19*'Proposed Rations'!G$27*365/2000&gt;0, 'Proposed Rations'!G19*'Proposed Rations'!G$27*365/2000, 0)</f>
        <v>0</v>
      </c>
      <c r="T48" s="271">
        <f t="shared" si="41"/>
        <v>0</v>
      </c>
      <c r="U48" s="18" t="str">
        <f t="shared" si="42"/>
        <v/>
      </c>
      <c r="V48" s="271">
        <f>IF('Current Rations'!H19*'Current Rations'!H$27*365/2000&gt;0, 'Current Rations'!H19*'Current Rations'!H$27*365/2000, 0)</f>
        <v>0</v>
      </c>
      <c r="W48" s="271">
        <f>IF('Proposed Rations'!H19*'Proposed Rations'!H$27*365/2000&gt;0, 'Proposed Rations'!H19*'Proposed Rations'!H$27*365/2000, 0)</f>
        <v>0</v>
      </c>
      <c r="X48" s="271">
        <f t="shared" si="43"/>
        <v>0</v>
      </c>
      <c r="Y48" s="18" t="str">
        <f t="shared" si="44"/>
        <v/>
      </c>
      <c r="Z48" s="271">
        <f>IF('Current Rations'!I19*'Current Rations'!I$27*365/2000&gt;0, 'Current Rations'!I19*'Current Rations'!I$27*365/2000, 0)</f>
        <v>0</v>
      </c>
      <c r="AA48" s="271">
        <f>IF('Proposed Rations'!I19*'Proposed Rations'!I$27*365/2000&gt;0, 'Proposed Rations'!I19*'Proposed Rations'!I$27*365/2000, 0)</f>
        <v>0</v>
      </c>
      <c r="AB48" s="271">
        <f t="shared" si="45"/>
        <v>0</v>
      </c>
      <c r="AC48" s="18" t="str">
        <f t="shared" si="46"/>
        <v/>
      </c>
      <c r="AD48" s="271">
        <f>IF('Current Rations'!J19*'Current Rations'!J$27*365/2000&gt;0, 'Current Rations'!J19*'Current Rations'!J$27*365/2000, 0)</f>
        <v>0</v>
      </c>
      <c r="AE48" s="271">
        <f>IF('Proposed Rations'!J19*'Proposed Rations'!J$27*365/2000&gt;0, 'Proposed Rations'!J19*'Proposed Rations'!J$27*365/2000, 0)</f>
        <v>0</v>
      </c>
      <c r="AF48" s="271">
        <f t="shared" si="47"/>
        <v>0</v>
      </c>
      <c r="AG48" s="18" t="str">
        <f t="shared" si="48"/>
        <v/>
      </c>
      <c r="AH48" s="271">
        <f>IF('Current Rations'!K19*'Current Rations'!K$27*365/2000&gt;0, 'Current Rations'!K19*'Current Rations'!K$27*365/2000, 0)</f>
        <v>0</v>
      </c>
      <c r="AI48" s="271">
        <f>IF('Proposed Rations'!K19*'Proposed Rations'!K$27*365/2000&gt;0, 'Proposed Rations'!K19*'Proposed Rations'!K$27*365/2000, 0)</f>
        <v>0</v>
      </c>
      <c r="AJ48" s="271">
        <f t="shared" si="49"/>
        <v>0</v>
      </c>
      <c r="AK48" s="18" t="str">
        <f t="shared" si="50"/>
        <v/>
      </c>
      <c r="AL48" s="271">
        <f>IF('Current Rations'!L19*'Current Rations'!L$27*365/2000&gt;0, 'Current Rations'!L19*'Current Rations'!L$27*365/2000, 0)</f>
        <v>0</v>
      </c>
      <c r="AM48" s="271">
        <f>IF('Proposed Rations'!L19*'Proposed Rations'!L$27*365/2000&gt;0, 'Proposed Rations'!L19*'Proposed Rations'!L$27*365/2000, 0)</f>
        <v>0</v>
      </c>
      <c r="AN48" s="271">
        <f t="shared" si="51"/>
        <v>0</v>
      </c>
      <c r="AO48" s="18" t="str">
        <f t="shared" si="52"/>
        <v/>
      </c>
      <c r="AP48" s="271" t="str">
        <f>IF(SUMPRODUCT('Current Rations'!C19:L19,'Current Rations'!C$27:L$27)*365/2000&gt;0,SUMPRODUCT('Current Rations'!C19:L19,'Current Rations'!C$27:L$27)*365/2000, "")</f>
        <v/>
      </c>
      <c r="AQ48" s="271" t="str">
        <f>IF(SUMPRODUCT('Proposed Rations'!C19:L19,'Proposed Rations'!C$27:L$27)*365/2000&gt;0,SUMPRODUCT('Proposed Rations'!C19:L19,'Proposed Rations'!C$27:L$27)*365/2000,"")</f>
        <v/>
      </c>
      <c r="AR48" s="271" t="str">
        <f t="shared" si="53"/>
        <v/>
      </c>
    </row>
    <row r="49" spans="1:44" x14ac:dyDescent="0.2">
      <c r="A49" s="18" t="str">
        <f>'Proposed Rations'!B20</f>
        <v/>
      </c>
      <c r="B49" s="271">
        <f>IF('Current Rations'!C20*'Current Rations'!C$27*365/2000&gt;0, 'Current Rations'!C20*'Current Rations'!C$27*365/2000, 0)</f>
        <v>0</v>
      </c>
      <c r="C49" s="271">
        <f>IF('Proposed Rations'!C20*'Proposed Rations'!C$27*365/2000&gt;0, 'Proposed Rations'!C20*'Proposed Rations'!C$27*365/2000, 0)</f>
        <v>0</v>
      </c>
      <c r="D49" s="271">
        <f t="shared" si="33"/>
        <v>0</v>
      </c>
      <c r="E49" s="18" t="str">
        <f t="shared" si="34"/>
        <v/>
      </c>
      <c r="F49" s="271">
        <f>IF('Current Rations'!D20*'Current Rations'!D$27*365/2000&gt;0, 'Current Rations'!D20*'Current Rations'!D$27*365/2000, 0)</f>
        <v>0</v>
      </c>
      <c r="G49" s="271">
        <f>IF('Proposed Rations'!D20*'Proposed Rations'!D$27*365/2000&gt;0, 'Proposed Rations'!D20*'Proposed Rations'!D$27*365/2000, 0)</f>
        <v>0</v>
      </c>
      <c r="H49" s="271">
        <f t="shared" si="35"/>
        <v>0</v>
      </c>
      <c r="I49" s="18" t="str">
        <f t="shared" si="36"/>
        <v/>
      </c>
      <c r="J49" s="271">
        <f>IF('Current Rations'!E20*'Current Rations'!E$27*365/2000&gt;0, 'Current Rations'!E20*'Current Rations'!E$27*365/2000, 0)</f>
        <v>0</v>
      </c>
      <c r="K49" s="271">
        <f>IF('Proposed Rations'!E20*'Proposed Rations'!E$27*365/2000&gt;0, 'Proposed Rations'!E20*'Proposed Rations'!E$27*365/2000, 0)</f>
        <v>0</v>
      </c>
      <c r="L49" s="271">
        <f t="shared" si="37"/>
        <v>0</v>
      </c>
      <c r="M49" s="18" t="str">
        <f t="shared" si="38"/>
        <v/>
      </c>
      <c r="N49" s="271">
        <f>IF('Current Rations'!F20*'Current Rations'!F$27*365/2000&gt;0, 'Current Rations'!F20*'Current Rations'!F$27*365/2000, 0)</f>
        <v>0</v>
      </c>
      <c r="O49" s="271">
        <f>IF('Proposed Rations'!F20*'Proposed Rations'!F$27*365/2000&gt;0, 'Proposed Rations'!F20*'Proposed Rations'!F$27*365/2000, 0)</f>
        <v>0</v>
      </c>
      <c r="P49" s="271">
        <f t="shared" si="39"/>
        <v>0</v>
      </c>
      <c r="Q49" s="18" t="str">
        <f t="shared" si="40"/>
        <v/>
      </c>
      <c r="R49" s="271">
        <f>IF('Current Rations'!G20*'Current Rations'!G$27*365/2000&gt;0, 'Current Rations'!G20*'Current Rations'!G$27*365/2000, 0)</f>
        <v>0</v>
      </c>
      <c r="S49" s="271">
        <f>IF('Proposed Rations'!G20*'Proposed Rations'!G$27*365/2000&gt;0, 'Proposed Rations'!G20*'Proposed Rations'!G$27*365/2000, 0)</f>
        <v>0</v>
      </c>
      <c r="T49" s="271">
        <f t="shared" si="41"/>
        <v>0</v>
      </c>
      <c r="U49" s="18" t="str">
        <f t="shared" si="42"/>
        <v/>
      </c>
      <c r="V49" s="271">
        <f>IF('Current Rations'!H20*'Current Rations'!H$27*365/2000&gt;0, 'Current Rations'!H20*'Current Rations'!H$27*365/2000, 0)</f>
        <v>0</v>
      </c>
      <c r="W49" s="271">
        <f>IF('Proposed Rations'!H20*'Proposed Rations'!H$27*365/2000&gt;0, 'Proposed Rations'!H20*'Proposed Rations'!H$27*365/2000, 0)</f>
        <v>0</v>
      </c>
      <c r="X49" s="271">
        <f t="shared" si="43"/>
        <v>0</v>
      </c>
      <c r="Y49" s="18" t="str">
        <f t="shared" si="44"/>
        <v/>
      </c>
      <c r="Z49" s="271">
        <f>IF('Current Rations'!I20*'Current Rations'!I$27*365/2000&gt;0, 'Current Rations'!I20*'Current Rations'!I$27*365/2000, 0)</f>
        <v>0</v>
      </c>
      <c r="AA49" s="271">
        <f>IF('Proposed Rations'!I20*'Proposed Rations'!I$27*365/2000&gt;0, 'Proposed Rations'!I20*'Proposed Rations'!I$27*365/2000, 0)</f>
        <v>0</v>
      </c>
      <c r="AB49" s="271">
        <f t="shared" si="45"/>
        <v>0</v>
      </c>
      <c r="AC49" s="18" t="str">
        <f t="shared" si="46"/>
        <v/>
      </c>
      <c r="AD49" s="271">
        <f>IF('Current Rations'!J20*'Current Rations'!J$27*365/2000&gt;0, 'Current Rations'!J20*'Current Rations'!J$27*365/2000, 0)</f>
        <v>0</v>
      </c>
      <c r="AE49" s="271">
        <f>IF('Proposed Rations'!J20*'Proposed Rations'!J$27*365/2000&gt;0, 'Proposed Rations'!J20*'Proposed Rations'!J$27*365/2000, 0)</f>
        <v>0</v>
      </c>
      <c r="AF49" s="271">
        <f t="shared" si="47"/>
        <v>0</v>
      </c>
      <c r="AG49" s="18" t="str">
        <f t="shared" si="48"/>
        <v/>
      </c>
      <c r="AH49" s="271">
        <f>IF('Current Rations'!K20*'Current Rations'!K$27*365/2000&gt;0, 'Current Rations'!K20*'Current Rations'!K$27*365/2000, 0)</f>
        <v>0</v>
      </c>
      <c r="AI49" s="271">
        <f>IF('Proposed Rations'!K20*'Proposed Rations'!K$27*365/2000&gt;0, 'Proposed Rations'!K20*'Proposed Rations'!K$27*365/2000, 0)</f>
        <v>0</v>
      </c>
      <c r="AJ49" s="271">
        <f t="shared" si="49"/>
        <v>0</v>
      </c>
      <c r="AK49" s="18" t="str">
        <f t="shared" si="50"/>
        <v/>
      </c>
      <c r="AL49" s="271">
        <f>IF('Current Rations'!L20*'Current Rations'!L$27*365/2000&gt;0, 'Current Rations'!L20*'Current Rations'!L$27*365/2000, 0)</f>
        <v>0</v>
      </c>
      <c r="AM49" s="271">
        <f>IF('Proposed Rations'!L20*'Proposed Rations'!L$27*365/2000&gt;0, 'Proposed Rations'!L20*'Proposed Rations'!L$27*365/2000, 0)</f>
        <v>0</v>
      </c>
      <c r="AN49" s="271">
        <f t="shared" si="51"/>
        <v>0</v>
      </c>
      <c r="AO49" s="18" t="str">
        <f t="shared" si="52"/>
        <v/>
      </c>
      <c r="AP49" s="271" t="str">
        <f>IF(SUMPRODUCT('Current Rations'!C20:L20,'Current Rations'!C$27:L$27)*365/2000&gt;0,SUMPRODUCT('Current Rations'!C20:L20,'Current Rations'!C$27:L$27)*365/2000, "")</f>
        <v/>
      </c>
      <c r="AQ49" s="271" t="str">
        <f>IF(SUMPRODUCT('Proposed Rations'!C20:L20,'Proposed Rations'!C$27:L$27)*365/2000&gt;0,SUMPRODUCT('Proposed Rations'!C20:L20,'Proposed Rations'!C$27:L$27)*365/2000,"")</f>
        <v/>
      </c>
      <c r="AR49" s="271" t="str">
        <f t="shared" si="53"/>
        <v/>
      </c>
    </row>
    <row r="50" spans="1:44" x14ac:dyDescent="0.2">
      <c r="A50" s="18" t="str">
        <f>'Proposed Rations'!B21</f>
        <v/>
      </c>
      <c r="B50" s="271">
        <f>IF('Current Rations'!C21*'Current Rations'!C$27*365/2000&gt;0, 'Current Rations'!C21*'Current Rations'!C$27*365/2000, 0)</f>
        <v>0</v>
      </c>
      <c r="C50" s="271">
        <f>IF('Proposed Rations'!C21*'Proposed Rations'!C$27*365/2000&gt;0, 'Proposed Rations'!C21*'Proposed Rations'!C$27*365/2000, 0)</f>
        <v>0</v>
      </c>
      <c r="D50" s="271">
        <f t="shared" si="33"/>
        <v>0</v>
      </c>
      <c r="E50" s="18" t="str">
        <f t="shared" si="34"/>
        <v/>
      </c>
      <c r="F50" s="271">
        <f>IF('Current Rations'!D21*'Current Rations'!D$27*365/2000&gt;0, 'Current Rations'!D21*'Current Rations'!D$27*365/2000, 0)</f>
        <v>0</v>
      </c>
      <c r="G50" s="271">
        <f>IF('Proposed Rations'!D21*'Proposed Rations'!D$27*365/2000&gt;0, 'Proposed Rations'!D21*'Proposed Rations'!D$27*365/2000, 0)</f>
        <v>0</v>
      </c>
      <c r="H50" s="271">
        <f t="shared" si="35"/>
        <v>0</v>
      </c>
      <c r="I50" s="18" t="str">
        <f t="shared" si="36"/>
        <v/>
      </c>
      <c r="J50" s="271">
        <f>IF('Current Rations'!E21*'Current Rations'!E$27*365/2000&gt;0, 'Current Rations'!E21*'Current Rations'!E$27*365/2000, 0)</f>
        <v>0</v>
      </c>
      <c r="K50" s="271">
        <f>IF('Proposed Rations'!E21*'Proposed Rations'!E$27*365/2000&gt;0, 'Proposed Rations'!E21*'Proposed Rations'!E$27*365/2000, 0)</f>
        <v>0</v>
      </c>
      <c r="L50" s="271">
        <f t="shared" si="37"/>
        <v>0</v>
      </c>
      <c r="M50" s="18" t="str">
        <f t="shared" si="38"/>
        <v/>
      </c>
      <c r="N50" s="271">
        <f>IF('Current Rations'!F21*'Current Rations'!F$27*365/2000&gt;0, 'Current Rations'!F21*'Current Rations'!F$27*365/2000, 0)</f>
        <v>0</v>
      </c>
      <c r="O50" s="271">
        <f>IF('Proposed Rations'!F21*'Proposed Rations'!F$27*365/2000&gt;0, 'Proposed Rations'!F21*'Proposed Rations'!F$27*365/2000, 0)</f>
        <v>0</v>
      </c>
      <c r="P50" s="271">
        <f t="shared" si="39"/>
        <v>0</v>
      </c>
      <c r="Q50" s="18" t="str">
        <f t="shared" si="40"/>
        <v/>
      </c>
      <c r="R50" s="271">
        <f>IF('Current Rations'!G21*'Current Rations'!G$27*365/2000&gt;0, 'Current Rations'!G21*'Current Rations'!G$27*365/2000, 0)</f>
        <v>0</v>
      </c>
      <c r="S50" s="271">
        <f>IF('Proposed Rations'!G21*'Proposed Rations'!G$27*365/2000&gt;0, 'Proposed Rations'!G21*'Proposed Rations'!G$27*365/2000, 0)</f>
        <v>0</v>
      </c>
      <c r="T50" s="271">
        <f t="shared" si="41"/>
        <v>0</v>
      </c>
      <c r="U50" s="18" t="str">
        <f t="shared" si="42"/>
        <v/>
      </c>
      <c r="V50" s="271">
        <f>IF('Current Rations'!H21*'Current Rations'!H$27*365/2000&gt;0, 'Current Rations'!H21*'Current Rations'!H$27*365/2000, 0)</f>
        <v>0</v>
      </c>
      <c r="W50" s="271">
        <f>IF('Proposed Rations'!H21*'Proposed Rations'!H$27*365/2000&gt;0, 'Proposed Rations'!H21*'Proposed Rations'!H$27*365/2000, 0)</f>
        <v>0</v>
      </c>
      <c r="X50" s="271">
        <f t="shared" si="43"/>
        <v>0</v>
      </c>
      <c r="Y50" s="18" t="str">
        <f t="shared" si="44"/>
        <v/>
      </c>
      <c r="Z50" s="271">
        <f>IF('Current Rations'!I21*'Current Rations'!I$27*365/2000&gt;0, 'Current Rations'!I21*'Current Rations'!I$27*365/2000, 0)</f>
        <v>0</v>
      </c>
      <c r="AA50" s="271">
        <f>IF('Proposed Rations'!I21*'Proposed Rations'!I$27*365/2000&gt;0, 'Proposed Rations'!I21*'Proposed Rations'!I$27*365/2000, 0)</f>
        <v>0</v>
      </c>
      <c r="AB50" s="271">
        <f t="shared" si="45"/>
        <v>0</v>
      </c>
      <c r="AC50" s="18" t="str">
        <f t="shared" si="46"/>
        <v/>
      </c>
      <c r="AD50" s="271">
        <f>IF('Current Rations'!J21*'Current Rations'!J$27*365/2000&gt;0, 'Current Rations'!J21*'Current Rations'!J$27*365/2000, 0)</f>
        <v>0</v>
      </c>
      <c r="AE50" s="271">
        <f>IF('Proposed Rations'!J21*'Proposed Rations'!J$27*365/2000&gt;0, 'Proposed Rations'!J21*'Proposed Rations'!J$27*365/2000, 0)</f>
        <v>0</v>
      </c>
      <c r="AF50" s="271">
        <f t="shared" si="47"/>
        <v>0</v>
      </c>
      <c r="AG50" s="18" t="str">
        <f t="shared" si="48"/>
        <v/>
      </c>
      <c r="AH50" s="271">
        <f>IF('Current Rations'!K21*'Current Rations'!K$27*365/2000&gt;0, 'Current Rations'!K21*'Current Rations'!K$27*365/2000, 0)</f>
        <v>0</v>
      </c>
      <c r="AI50" s="271">
        <f>IF('Proposed Rations'!K21*'Proposed Rations'!K$27*365/2000&gt;0, 'Proposed Rations'!K21*'Proposed Rations'!K$27*365/2000, 0)</f>
        <v>0</v>
      </c>
      <c r="AJ50" s="271">
        <f t="shared" si="49"/>
        <v>0</v>
      </c>
      <c r="AK50" s="18" t="str">
        <f t="shared" si="50"/>
        <v/>
      </c>
      <c r="AL50" s="271">
        <f>IF('Current Rations'!L21*'Current Rations'!L$27*365/2000&gt;0, 'Current Rations'!L21*'Current Rations'!L$27*365/2000, 0)</f>
        <v>0</v>
      </c>
      <c r="AM50" s="271">
        <f>IF('Proposed Rations'!L21*'Proposed Rations'!L$27*365/2000&gt;0, 'Proposed Rations'!L21*'Proposed Rations'!L$27*365/2000, 0)</f>
        <v>0</v>
      </c>
      <c r="AN50" s="271">
        <f t="shared" si="51"/>
        <v>0</v>
      </c>
      <c r="AO50" s="18" t="str">
        <f t="shared" si="52"/>
        <v/>
      </c>
      <c r="AP50" s="271" t="str">
        <f>IF(SUMPRODUCT('Current Rations'!C21:L21,'Current Rations'!C$27:L$27)*365/2000&gt;0,SUMPRODUCT('Current Rations'!C21:L21,'Current Rations'!C$27:L$27)*365/2000, "")</f>
        <v/>
      </c>
      <c r="AQ50" s="271" t="str">
        <f>IF(SUMPRODUCT('Proposed Rations'!C21:L21,'Proposed Rations'!C$27:L$27)*365/2000&gt;0,SUMPRODUCT('Proposed Rations'!C21:L21,'Proposed Rations'!C$27:L$27)*365/2000,"")</f>
        <v/>
      </c>
      <c r="AR50" s="271" t="str">
        <f t="shared" si="53"/>
        <v/>
      </c>
    </row>
    <row r="51" spans="1:44" x14ac:dyDescent="0.2">
      <c r="A51" s="18" t="str">
        <f>'Proposed Rations'!B22</f>
        <v/>
      </c>
      <c r="B51" s="271">
        <f>IF('Current Rations'!C22*'Current Rations'!C$27*365/2000&gt;0, 'Current Rations'!C22*'Current Rations'!C$27*365/2000, 0)</f>
        <v>0</v>
      </c>
      <c r="C51" s="271">
        <f>IF('Proposed Rations'!C22*'Proposed Rations'!C$27*365/2000&gt;0, 'Proposed Rations'!C22*'Proposed Rations'!C$27*365/2000, 0)</f>
        <v>0</v>
      </c>
      <c r="D51" s="271">
        <f t="shared" si="33"/>
        <v>0</v>
      </c>
      <c r="E51" s="18" t="str">
        <f t="shared" si="34"/>
        <v/>
      </c>
      <c r="F51" s="271">
        <f>IF('Current Rations'!D22*'Current Rations'!D$27*365/2000&gt;0, 'Current Rations'!D22*'Current Rations'!D$27*365/2000, 0)</f>
        <v>0</v>
      </c>
      <c r="G51" s="271">
        <f>IF('Proposed Rations'!D22*'Proposed Rations'!D$27*365/2000&gt;0, 'Proposed Rations'!D22*'Proposed Rations'!D$27*365/2000, 0)</f>
        <v>0</v>
      </c>
      <c r="H51" s="271">
        <f t="shared" si="35"/>
        <v>0</v>
      </c>
      <c r="I51" s="18" t="str">
        <f t="shared" si="36"/>
        <v/>
      </c>
      <c r="J51" s="271">
        <f>IF('Current Rations'!E22*'Current Rations'!E$27*365/2000&gt;0, 'Current Rations'!E22*'Current Rations'!E$27*365/2000, 0)</f>
        <v>0</v>
      </c>
      <c r="K51" s="271">
        <f>IF('Proposed Rations'!E22*'Proposed Rations'!E$27*365/2000&gt;0, 'Proposed Rations'!E22*'Proposed Rations'!E$27*365/2000, 0)</f>
        <v>0</v>
      </c>
      <c r="L51" s="271">
        <f t="shared" si="37"/>
        <v>0</v>
      </c>
      <c r="M51" s="18" t="str">
        <f t="shared" si="38"/>
        <v/>
      </c>
      <c r="N51" s="271">
        <f>IF('Current Rations'!F22*'Current Rations'!F$27*365/2000&gt;0, 'Current Rations'!F22*'Current Rations'!F$27*365/2000, 0)</f>
        <v>0</v>
      </c>
      <c r="O51" s="271">
        <f>IF('Proposed Rations'!F22*'Proposed Rations'!F$27*365/2000&gt;0, 'Proposed Rations'!F22*'Proposed Rations'!F$27*365/2000, 0)</f>
        <v>0</v>
      </c>
      <c r="P51" s="271">
        <f t="shared" si="39"/>
        <v>0</v>
      </c>
      <c r="Q51" s="18" t="str">
        <f t="shared" si="40"/>
        <v/>
      </c>
      <c r="R51" s="271">
        <f>IF('Current Rations'!G22*'Current Rations'!G$27*365/2000&gt;0, 'Current Rations'!G22*'Current Rations'!G$27*365/2000, 0)</f>
        <v>0</v>
      </c>
      <c r="S51" s="271">
        <f>IF('Proposed Rations'!G22*'Proposed Rations'!G$27*365/2000&gt;0, 'Proposed Rations'!G22*'Proposed Rations'!G$27*365/2000, 0)</f>
        <v>0</v>
      </c>
      <c r="T51" s="271">
        <f t="shared" si="41"/>
        <v>0</v>
      </c>
      <c r="U51" s="18" t="str">
        <f t="shared" si="42"/>
        <v/>
      </c>
      <c r="V51" s="271">
        <f>IF('Current Rations'!H22*'Current Rations'!H$27*365/2000&gt;0, 'Current Rations'!H22*'Current Rations'!H$27*365/2000, 0)</f>
        <v>0</v>
      </c>
      <c r="W51" s="271">
        <f>IF('Proposed Rations'!H22*'Proposed Rations'!H$27*365/2000&gt;0, 'Proposed Rations'!H22*'Proposed Rations'!H$27*365/2000, 0)</f>
        <v>0</v>
      </c>
      <c r="X51" s="271">
        <f t="shared" si="43"/>
        <v>0</v>
      </c>
      <c r="Y51" s="18" t="str">
        <f t="shared" si="44"/>
        <v/>
      </c>
      <c r="Z51" s="271">
        <f>IF('Current Rations'!I22*'Current Rations'!I$27*365/2000&gt;0, 'Current Rations'!I22*'Current Rations'!I$27*365/2000, 0)</f>
        <v>0</v>
      </c>
      <c r="AA51" s="271">
        <f>IF('Proposed Rations'!I22*'Proposed Rations'!I$27*365/2000&gt;0, 'Proposed Rations'!I22*'Proposed Rations'!I$27*365/2000, 0)</f>
        <v>0</v>
      </c>
      <c r="AB51" s="271">
        <f t="shared" si="45"/>
        <v>0</v>
      </c>
      <c r="AC51" s="18" t="str">
        <f t="shared" si="46"/>
        <v/>
      </c>
      <c r="AD51" s="271">
        <f>IF('Current Rations'!J22*'Current Rations'!J$27*365/2000&gt;0, 'Current Rations'!J22*'Current Rations'!J$27*365/2000, 0)</f>
        <v>0</v>
      </c>
      <c r="AE51" s="271">
        <f>IF('Proposed Rations'!J22*'Proposed Rations'!J$27*365/2000&gt;0, 'Proposed Rations'!J22*'Proposed Rations'!J$27*365/2000, 0)</f>
        <v>0</v>
      </c>
      <c r="AF51" s="271">
        <f t="shared" si="47"/>
        <v>0</v>
      </c>
      <c r="AG51" s="18" t="str">
        <f t="shared" si="48"/>
        <v/>
      </c>
      <c r="AH51" s="271">
        <f>IF('Current Rations'!K22*'Current Rations'!K$27*365/2000&gt;0, 'Current Rations'!K22*'Current Rations'!K$27*365/2000, 0)</f>
        <v>0</v>
      </c>
      <c r="AI51" s="271">
        <f>IF('Proposed Rations'!K22*'Proposed Rations'!K$27*365/2000&gt;0, 'Proposed Rations'!K22*'Proposed Rations'!K$27*365/2000, 0)</f>
        <v>0</v>
      </c>
      <c r="AJ51" s="271">
        <f t="shared" si="49"/>
        <v>0</v>
      </c>
      <c r="AK51" s="18" t="str">
        <f t="shared" si="50"/>
        <v/>
      </c>
      <c r="AL51" s="271">
        <f>IF('Current Rations'!L22*'Current Rations'!L$27*365/2000&gt;0, 'Current Rations'!L22*'Current Rations'!L$27*365/2000, 0)</f>
        <v>0</v>
      </c>
      <c r="AM51" s="271">
        <f>IF('Proposed Rations'!L22*'Proposed Rations'!L$27*365/2000&gt;0, 'Proposed Rations'!L22*'Proposed Rations'!L$27*365/2000, 0)</f>
        <v>0</v>
      </c>
      <c r="AN51" s="271">
        <f t="shared" si="51"/>
        <v>0</v>
      </c>
      <c r="AO51" s="18" t="str">
        <f t="shared" si="52"/>
        <v/>
      </c>
      <c r="AP51" s="271" t="str">
        <f>IF(SUMPRODUCT('Current Rations'!C22:L22,'Current Rations'!C$27:L$27)*365/2000&gt;0,SUMPRODUCT('Current Rations'!C22:L22,'Current Rations'!C$27:L$27)*365/2000, "")</f>
        <v/>
      </c>
      <c r="AQ51" s="271" t="str">
        <f>IF(SUMPRODUCT('Proposed Rations'!C22:L22,'Proposed Rations'!C$27:L$27)*365/2000&gt;0,SUMPRODUCT('Proposed Rations'!C22:L22,'Proposed Rations'!C$27:L$27)*365/2000,"")</f>
        <v/>
      </c>
      <c r="AR51" s="271" t="str">
        <f t="shared" si="53"/>
        <v/>
      </c>
    </row>
    <row r="52" spans="1:44" x14ac:dyDescent="0.2">
      <c r="A52" s="18" t="str">
        <f>'Proposed Rations'!B23</f>
        <v/>
      </c>
      <c r="B52" s="271">
        <f>IF('Current Rations'!C23*'Current Rations'!C$27*365/2000&gt;0, 'Current Rations'!C23*'Current Rations'!C$27*365/2000, 0)</f>
        <v>0</v>
      </c>
      <c r="C52" s="271">
        <f>IF('Proposed Rations'!C23*'Proposed Rations'!C$27*365/2000&gt;0, 'Proposed Rations'!C23*'Proposed Rations'!C$27*365/2000, 0)</f>
        <v>0</v>
      </c>
      <c r="D52" s="271">
        <f t="shared" si="33"/>
        <v>0</v>
      </c>
      <c r="E52" s="18" t="str">
        <f t="shared" si="34"/>
        <v/>
      </c>
      <c r="F52" s="271">
        <f>IF('Current Rations'!D23*'Current Rations'!D$27*365/2000&gt;0, 'Current Rations'!D23*'Current Rations'!D$27*365/2000, 0)</f>
        <v>0</v>
      </c>
      <c r="G52" s="271">
        <f>IF('Proposed Rations'!D23*'Proposed Rations'!D$27*365/2000&gt;0, 'Proposed Rations'!D23*'Proposed Rations'!D$27*365/2000, 0)</f>
        <v>0</v>
      </c>
      <c r="H52" s="271">
        <f t="shared" si="35"/>
        <v>0</v>
      </c>
      <c r="I52" s="18" t="str">
        <f t="shared" si="36"/>
        <v/>
      </c>
      <c r="J52" s="271">
        <f>IF('Current Rations'!E23*'Current Rations'!E$27*365/2000&gt;0, 'Current Rations'!E23*'Current Rations'!E$27*365/2000, 0)</f>
        <v>0</v>
      </c>
      <c r="K52" s="271">
        <f>IF('Proposed Rations'!E23*'Proposed Rations'!E$27*365/2000&gt;0, 'Proposed Rations'!E23*'Proposed Rations'!E$27*365/2000, 0)</f>
        <v>0</v>
      </c>
      <c r="L52" s="271">
        <f t="shared" si="37"/>
        <v>0</v>
      </c>
      <c r="M52" s="18" t="str">
        <f t="shared" si="38"/>
        <v/>
      </c>
      <c r="N52" s="271">
        <f>IF('Current Rations'!F23*'Current Rations'!F$27*365/2000&gt;0, 'Current Rations'!F23*'Current Rations'!F$27*365/2000, 0)</f>
        <v>0</v>
      </c>
      <c r="O52" s="271">
        <f>IF('Proposed Rations'!F23*'Proposed Rations'!F$27*365/2000&gt;0, 'Proposed Rations'!F23*'Proposed Rations'!F$27*365/2000, 0)</f>
        <v>0</v>
      </c>
      <c r="P52" s="271">
        <f t="shared" si="39"/>
        <v>0</v>
      </c>
      <c r="Q52" s="18" t="str">
        <f t="shared" si="40"/>
        <v/>
      </c>
      <c r="R52" s="271">
        <f>IF('Current Rations'!G23*'Current Rations'!G$27*365/2000&gt;0, 'Current Rations'!G23*'Current Rations'!G$27*365/2000, 0)</f>
        <v>0</v>
      </c>
      <c r="S52" s="271">
        <f>IF('Proposed Rations'!G23*'Proposed Rations'!G$27*365/2000&gt;0, 'Proposed Rations'!G23*'Proposed Rations'!G$27*365/2000, 0)</f>
        <v>0</v>
      </c>
      <c r="T52" s="271">
        <f t="shared" si="41"/>
        <v>0</v>
      </c>
      <c r="U52" s="18" t="str">
        <f t="shared" si="42"/>
        <v/>
      </c>
      <c r="V52" s="271">
        <f>IF('Current Rations'!H23*'Current Rations'!H$27*365/2000&gt;0, 'Current Rations'!H23*'Current Rations'!H$27*365/2000, 0)</f>
        <v>0</v>
      </c>
      <c r="W52" s="271">
        <f>IF('Proposed Rations'!H23*'Proposed Rations'!H$27*365/2000&gt;0, 'Proposed Rations'!H23*'Proposed Rations'!H$27*365/2000, 0)</f>
        <v>0</v>
      </c>
      <c r="X52" s="271">
        <f t="shared" si="43"/>
        <v>0</v>
      </c>
      <c r="Y52" s="18" t="str">
        <f t="shared" si="44"/>
        <v/>
      </c>
      <c r="Z52" s="271">
        <f>IF('Current Rations'!I23*'Current Rations'!I$27*365/2000&gt;0, 'Current Rations'!I23*'Current Rations'!I$27*365/2000, 0)</f>
        <v>0</v>
      </c>
      <c r="AA52" s="271">
        <f>IF('Proposed Rations'!I23*'Proposed Rations'!I$27*365/2000&gt;0, 'Proposed Rations'!I23*'Proposed Rations'!I$27*365/2000, 0)</f>
        <v>0</v>
      </c>
      <c r="AB52" s="271">
        <f t="shared" si="45"/>
        <v>0</v>
      </c>
      <c r="AC52" s="18" t="str">
        <f t="shared" si="46"/>
        <v/>
      </c>
      <c r="AD52" s="271">
        <f>IF('Current Rations'!J23*'Current Rations'!J$27*365/2000&gt;0, 'Current Rations'!J23*'Current Rations'!J$27*365/2000, 0)</f>
        <v>0</v>
      </c>
      <c r="AE52" s="271">
        <f>IF('Proposed Rations'!J23*'Proposed Rations'!J$27*365/2000&gt;0, 'Proposed Rations'!J23*'Proposed Rations'!J$27*365/2000, 0)</f>
        <v>0</v>
      </c>
      <c r="AF52" s="271">
        <f t="shared" si="47"/>
        <v>0</v>
      </c>
      <c r="AG52" s="18" t="str">
        <f t="shared" si="48"/>
        <v/>
      </c>
      <c r="AH52" s="271">
        <f>IF('Current Rations'!K23*'Current Rations'!K$27*365/2000&gt;0, 'Current Rations'!K23*'Current Rations'!K$27*365/2000, 0)</f>
        <v>0</v>
      </c>
      <c r="AI52" s="271">
        <f>IF('Proposed Rations'!K23*'Proposed Rations'!K$27*365/2000&gt;0, 'Proposed Rations'!K23*'Proposed Rations'!K$27*365/2000, 0)</f>
        <v>0</v>
      </c>
      <c r="AJ52" s="271">
        <f t="shared" si="49"/>
        <v>0</v>
      </c>
      <c r="AK52" s="18" t="str">
        <f t="shared" si="50"/>
        <v/>
      </c>
      <c r="AL52" s="271">
        <f>IF('Current Rations'!L23*'Current Rations'!L$27*365/2000&gt;0, 'Current Rations'!L23*'Current Rations'!L$27*365/2000, 0)</f>
        <v>0</v>
      </c>
      <c r="AM52" s="271">
        <f>IF('Proposed Rations'!L23*'Proposed Rations'!L$27*365/2000&gt;0, 'Proposed Rations'!L23*'Proposed Rations'!L$27*365/2000, 0)</f>
        <v>0</v>
      </c>
      <c r="AN52" s="271">
        <f t="shared" si="51"/>
        <v>0</v>
      </c>
      <c r="AO52" s="18" t="str">
        <f t="shared" si="52"/>
        <v/>
      </c>
      <c r="AP52" s="271" t="str">
        <f>IF(SUMPRODUCT('Current Rations'!C23:L23,'Current Rations'!C$27:L$27)*365/2000&gt;0,SUMPRODUCT('Current Rations'!C23:L23,'Current Rations'!C$27:L$27)*365/2000, "")</f>
        <v/>
      </c>
      <c r="AQ52" s="271" t="str">
        <f>IF(SUMPRODUCT('Proposed Rations'!C23:L23,'Proposed Rations'!C$27:L$27)*365/2000&gt;0,SUMPRODUCT('Proposed Rations'!C23:L23,'Proposed Rations'!C$27:L$27)*365/2000,"")</f>
        <v/>
      </c>
      <c r="AR52" s="271" t="str">
        <f t="shared" si="53"/>
        <v/>
      </c>
    </row>
    <row r="53" spans="1:44" x14ac:dyDescent="0.2">
      <c r="C53" s="272"/>
      <c r="D53" s="272"/>
      <c r="E53" s="18"/>
      <c r="G53" s="272"/>
      <c r="H53" s="272"/>
      <c r="K53" s="272"/>
      <c r="L53" s="272"/>
      <c r="O53" s="272"/>
      <c r="P53" s="272"/>
      <c r="S53" s="272"/>
      <c r="T53" s="272"/>
      <c r="W53" s="272"/>
      <c r="X53" s="272"/>
      <c r="AA53" s="272"/>
      <c r="AB53" s="272"/>
      <c r="AE53" s="272"/>
      <c r="AF53" s="272"/>
      <c r="AI53" s="272"/>
      <c r="AJ53" s="272"/>
      <c r="AM53" s="272"/>
      <c r="AN53" s="272"/>
      <c r="AQ53" s="272"/>
      <c r="AR53" s="272"/>
    </row>
  </sheetData>
  <sheetProtection password="D040" sheet="1" objects="1" scenarios="1"/>
  <mergeCells count="99">
    <mergeCell ref="M31:P31"/>
    <mergeCell ref="M4:P4"/>
    <mergeCell ref="M10:O10"/>
    <mergeCell ref="M18:O18"/>
    <mergeCell ref="M26:O26"/>
    <mergeCell ref="M27:O27"/>
    <mergeCell ref="M28:O28"/>
    <mergeCell ref="E31:H31"/>
    <mergeCell ref="I4:L4"/>
    <mergeCell ref="I10:K10"/>
    <mergeCell ref="I18:K18"/>
    <mergeCell ref="I26:K26"/>
    <mergeCell ref="I27:K27"/>
    <mergeCell ref="I28:K28"/>
    <mergeCell ref="I31:L31"/>
    <mergeCell ref="E27:G27"/>
    <mergeCell ref="A31:D31"/>
    <mergeCell ref="B1:C1"/>
    <mergeCell ref="B2:C2"/>
    <mergeCell ref="F1:G1"/>
    <mergeCell ref="F2:G2"/>
    <mergeCell ref="A28:C28"/>
    <mergeCell ref="A27:C27"/>
    <mergeCell ref="A26:C26"/>
    <mergeCell ref="A18:C18"/>
    <mergeCell ref="A10:C10"/>
    <mergeCell ref="A4:D4"/>
    <mergeCell ref="E4:H4"/>
    <mergeCell ref="E10:G10"/>
    <mergeCell ref="E18:G18"/>
    <mergeCell ref="E26:G26"/>
    <mergeCell ref="E28:G28"/>
    <mergeCell ref="J1:K1"/>
    <mergeCell ref="J2:K2"/>
    <mergeCell ref="N1:O1"/>
    <mergeCell ref="N2:O2"/>
    <mergeCell ref="R1:S1"/>
    <mergeCell ref="R2:S2"/>
    <mergeCell ref="Q28:S28"/>
    <mergeCell ref="Q31:T31"/>
    <mergeCell ref="V1:W1"/>
    <mergeCell ref="V2:W2"/>
    <mergeCell ref="U4:X4"/>
    <mergeCell ref="U10:W10"/>
    <mergeCell ref="U18:W18"/>
    <mergeCell ref="U26:W26"/>
    <mergeCell ref="U27:W27"/>
    <mergeCell ref="U28:W28"/>
    <mergeCell ref="U31:X31"/>
    <mergeCell ref="Q4:T4"/>
    <mergeCell ref="Q10:S10"/>
    <mergeCell ref="Q18:S18"/>
    <mergeCell ref="Q26:S26"/>
    <mergeCell ref="Q27:S27"/>
    <mergeCell ref="Y31:AB31"/>
    <mergeCell ref="AD1:AE1"/>
    <mergeCell ref="AD2:AE2"/>
    <mergeCell ref="AC4:AF4"/>
    <mergeCell ref="AC10:AE10"/>
    <mergeCell ref="AC18:AE18"/>
    <mergeCell ref="AC26:AE26"/>
    <mergeCell ref="AC27:AE27"/>
    <mergeCell ref="AC28:AE28"/>
    <mergeCell ref="AC31:AF31"/>
    <mergeCell ref="Z1:AA1"/>
    <mergeCell ref="Z2:AA2"/>
    <mergeCell ref="Y4:AB4"/>
    <mergeCell ref="Y10:AA10"/>
    <mergeCell ref="Y18:AA18"/>
    <mergeCell ref="Y26:AA26"/>
    <mergeCell ref="Y27:AA27"/>
    <mergeCell ref="Y28:AA28"/>
    <mergeCell ref="AG26:AI26"/>
    <mergeCell ref="AG27:AI27"/>
    <mergeCell ref="AG28:AI28"/>
    <mergeCell ref="AG31:AJ31"/>
    <mergeCell ref="AL1:AM1"/>
    <mergeCell ref="AL2:AM2"/>
    <mergeCell ref="AK4:AN4"/>
    <mergeCell ref="AK10:AM10"/>
    <mergeCell ref="AK18:AM18"/>
    <mergeCell ref="AK26:AM26"/>
    <mergeCell ref="AK27:AM27"/>
    <mergeCell ref="AK28:AM28"/>
    <mergeCell ref="AK31:AN31"/>
    <mergeCell ref="AH1:AI1"/>
    <mergeCell ref="AH2:AI2"/>
    <mergeCell ref="AG4:AJ4"/>
    <mergeCell ref="AG10:AI10"/>
    <mergeCell ref="AG18:AI18"/>
    <mergeCell ref="AO26:AQ26"/>
    <mergeCell ref="AO27:AQ27"/>
    <mergeCell ref="AO28:AQ28"/>
    <mergeCell ref="AO31:AR31"/>
    <mergeCell ref="AP1:AQ1"/>
    <mergeCell ref="AP2:AQ2"/>
    <mergeCell ref="AO4:AR4"/>
    <mergeCell ref="AO10:AQ10"/>
    <mergeCell ref="AO18:AQ18"/>
  </mergeCells>
  <conditionalFormatting sqref="R33:R52">
    <cfRule type="cellIs" dxfId="4" priority="7" operator="equal">
      <formula>0</formula>
    </cfRule>
  </conditionalFormatting>
  <conditionalFormatting sqref="S33:S52">
    <cfRule type="cellIs" dxfId="3" priority="6" operator="equal">
      <formula>0</formula>
    </cfRule>
  </conditionalFormatting>
  <conditionalFormatting sqref="T33:T52">
    <cfRule type="cellIs" dxfId="2" priority="4" operator="equal">
      <formula>0</formula>
    </cfRule>
  </conditionalFormatting>
  <conditionalFormatting sqref="N33:N52">
    <cfRule type="cellIs" dxfId="1" priority="2" operator="equal">
      <formula>0</formula>
    </cfRule>
    <cfRule type="cellIs" priority="3" operator="equal">
      <formula>0</formula>
    </cfRule>
  </conditionalFormatting>
  <conditionalFormatting sqref="AL33:AN52 AH33:AJ52 AD33:AF52 Z33:AB52 V33:X52 R33:T52 N33:P52 J33:L52 F33:H52 B33:D52">
    <cfRule type="cellIs" dxfId="0" priority="1" operator="equal">
      <formula>0</formula>
    </cfRule>
  </conditionalFormatting>
  <pageMargins left="0.7" right="0.7" top="0.75" bottom="0.75" header="0.3" footer="0.3"/>
  <pageSetup pageOrder="overThenDown" orientation="portrait" errors="blank"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2:AD276"/>
  <sheetViews>
    <sheetView showGridLines="0" zoomScale="85" zoomScaleNormal="75" zoomScaleSheetLayoutView="75" workbookViewId="0">
      <selection activeCell="I4" sqref="I4:J4"/>
    </sheetView>
  </sheetViews>
  <sheetFormatPr defaultRowHeight="12.75" x14ac:dyDescent="0.2"/>
  <cols>
    <col min="1" max="1" width="17.28515625" style="1" bestFit="1" customWidth="1"/>
    <col min="2" max="2" width="18.140625" style="1" customWidth="1"/>
    <col min="3" max="3" width="13.5703125" style="1" bestFit="1" customWidth="1"/>
    <col min="4" max="4" width="18.140625" style="1" customWidth="1"/>
    <col min="5" max="5" width="15.140625" style="1" customWidth="1"/>
    <col min="6" max="6" width="15.140625" style="1" bestFit="1" customWidth="1"/>
    <col min="7" max="7" width="15.85546875" style="1" customWidth="1"/>
    <col min="8" max="8" width="11.140625" style="1" bestFit="1" customWidth="1"/>
    <col min="9" max="9" width="10.140625" style="1" bestFit="1" customWidth="1"/>
    <col min="10" max="11" width="9.5703125" style="2" customWidth="1"/>
    <col min="12" max="12" width="16.28515625" style="2" customWidth="1"/>
    <col min="13" max="13" width="8.5703125" style="2" hidden="1" customWidth="1"/>
    <col min="14" max="14" width="16.28515625" style="2" hidden="1" customWidth="1"/>
    <col min="15" max="15" width="10.42578125" style="2" hidden="1" customWidth="1"/>
    <col min="16" max="19" width="12.5703125" style="2" hidden="1" customWidth="1"/>
    <col min="20" max="20" width="8.7109375" style="2" hidden="1" customWidth="1"/>
    <col min="21" max="21" width="12.5703125" style="2" hidden="1" customWidth="1"/>
    <col min="22" max="22" width="12" style="2" hidden="1" customWidth="1"/>
    <col min="23" max="23" width="8.5703125" style="1" hidden="1" customWidth="1"/>
    <col min="24" max="24" width="16.28515625" style="1" hidden="1" customWidth="1"/>
    <col min="25" max="25" width="10.42578125" style="1" hidden="1" customWidth="1"/>
    <col min="26" max="29" width="12.7109375" style="1" hidden="1" customWidth="1"/>
    <col min="30" max="30" width="8.7109375" style="1" hidden="1" customWidth="1"/>
    <col min="31" max="31" width="9.140625" style="1" customWidth="1"/>
    <col min="32" max="16384" width="9.140625" style="1"/>
  </cols>
  <sheetData>
    <row r="2" spans="1:24" ht="23.25" x14ac:dyDescent="0.35">
      <c r="A2" s="304" t="s">
        <v>41</v>
      </c>
      <c r="B2" s="304"/>
      <c r="C2" s="304"/>
      <c r="D2" s="304"/>
      <c r="E2" s="304"/>
      <c r="F2" s="304"/>
      <c r="G2" s="304"/>
      <c r="H2" s="304"/>
      <c r="I2" s="304"/>
      <c r="J2" s="304"/>
    </row>
    <row r="3" spans="1:24" ht="13.5" thickBot="1" x14ac:dyDescent="0.25">
      <c r="A3" s="2"/>
      <c r="B3" s="2"/>
      <c r="C3" s="2"/>
      <c r="D3" s="2"/>
      <c r="E3" s="2"/>
      <c r="F3" s="2"/>
      <c r="G3" s="2"/>
      <c r="H3" s="2"/>
    </row>
    <row r="4" spans="1:24" x14ac:dyDescent="0.2">
      <c r="A4" s="2"/>
      <c r="B4" s="2"/>
      <c r="D4" s="74" t="s">
        <v>69</v>
      </c>
      <c r="E4" s="75" t="s">
        <v>66</v>
      </c>
      <c r="F4" s="76" t="s">
        <v>67</v>
      </c>
      <c r="H4" s="16" t="s">
        <v>75</v>
      </c>
      <c r="I4" s="302"/>
      <c r="J4" s="302"/>
    </row>
    <row r="5" spans="1:24" x14ac:dyDescent="0.2">
      <c r="A5" s="16" t="s">
        <v>59</v>
      </c>
      <c r="B5" s="131"/>
      <c r="C5" s="2"/>
      <c r="D5" s="77" t="str">
        <f t="shared" ref="D5:D12" si="0">IF(B5&gt;0,B5,"")</f>
        <v/>
      </c>
      <c r="E5" s="78" t="str">
        <f>IF(B5&gt;0,SUM(M18:M180),"")</f>
        <v/>
      </c>
      <c r="F5" s="79" t="str">
        <f>IF(B5&gt;0,SUM(W18:W180),"")</f>
        <v/>
      </c>
      <c r="H5" s="16" t="s">
        <v>76</v>
      </c>
      <c r="I5" s="303"/>
      <c r="J5" s="303"/>
    </row>
    <row r="6" spans="1:24" x14ac:dyDescent="0.2">
      <c r="A6" s="16" t="s">
        <v>60</v>
      </c>
      <c r="B6" s="131"/>
      <c r="C6" s="2"/>
      <c r="D6" s="77" t="str">
        <f t="shared" si="0"/>
        <v/>
      </c>
      <c r="E6" s="78" t="str">
        <f>IF(B6&gt;0,SUM(N18:N180),"")</f>
        <v/>
      </c>
      <c r="F6" s="79" t="str">
        <f>IF(B6&gt;0,SUM(X18:X180),"")</f>
        <v/>
      </c>
      <c r="H6" s="2"/>
    </row>
    <row r="7" spans="1:24" x14ac:dyDescent="0.2">
      <c r="A7" s="16" t="s">
        <v>61</v>
      </c>
      <c r="B7" s="131"/>
      <c r="C7" s="2"/>
      <c r="D7" s="77" t="str">
        <f t="shared" si="0"/>
        <v/>
      </c>
      <c r="E7" s="78" t="str">
        <f>IF(B7&gt;0,SUM(O18:O180),"")</f>
        <v/>
      </c>
      <c r="F7" s="79" t="str">
        <f>IF(B7&gt;0,SUM(Y18:Y180),"")</f>
        <v/>
      </c>
      <c r="H7" s="2"/>
    </row>
    <row r="8" spans="1:24" x14ac:dyDescent="0.2">
      <c r="A8" s="16" t="s">
        <v>62</v>
      </c>
      <c r="B8" s="131"/>
      <c r="C8" s="2"/>
      <c r="D8" s="77" t="str">
        <f t="shared" si="0"/>
        <v/>
      </c>
      <c r="E8" s="78" t="str">
        <f>IF(B8&gt;0,SUM(P18:P180),"")</f>
        <v/>
      </c>
      <c r="F8" s="79" t="str">
        <f>IF(B8&gt;0,SUM(Z18:Z180),"")</f>
        <v/>
      </c>
      <c r="H8" s="2"/>
    </row>
    <row r="9" spans="1:24" ht="12.75" customHeight="1" x14ac:dyDescent="0.2">
      <c r="A9" s="16" t="s">
        <v>64</v>
      </c>
      <c r="B9" s="131"/>
      <c r="C9" s="2"/>
      <c r="D9" s="77" t="str">
        <f t="shared" si="0"/>
        <v/>
      </c>
      <c r="E9" s="78" t="str">
        <f>IF(B9&gt;0,SUM(Q18:Q180),"")</f>
        <v/>
      </c>
      <c r="F9" s="79" t="str">
        <f>IF(B9&gt;0,SUM(AA18:AA180),"")</f>
        <v/>
      </c>
      <c r="H9" s="2"/>
    </row>
    <row r="10" spans="1:24" x14ac:dyDescent="0.2">
      <c r="A10" s="16" t="s">
        <v>150</v>
      </c>
      <c r="B10" s="131"/>
      <c r="C10" s="2"/>
      <c r="D10" s="77" t="str">
        <f t="shared" si="0"/>
        <v/>
      </c>
      <c r="E10" s="78" t="str">
        <f>IF(B10&gt;0,SUM(R18:R180),"")</f>
        <v/>
      </c>
      <c r="F10" s="79" t="str">
        <f>IF(B10&gt;0,SUM(AB18:AB180),"")</f>
        <v/>
      </c>
      <c r="H10" s="2"/>
    </row>
    <row r="11" spans="1:24" x14ac:dyDescent="0.2">
      <c r="A11" s="16" t="s">
        <v>151</v>
      </c>
      <c r="B11" s="131"/>
      <c r="C11" s="2"/>
      <c r="D11" s="77" t="str">
        <f t="shared" si="0"/>
        <v/>
      </c>
      <c r="E11" s="78" t="str">
        <f>IF(B11&gt;0,SUM(S18:S180),"")</f>
        <v/>
      </c>
      <c r="F11" s="79" t="str">
        <f>IF(B11&gt;0,SUM(AC18:AC180),"")</f>
        <v/>
      </c>
      <c r="H11" s="2"/>
    </row>
    <row r="12" spans="1:24" ht="13.5" thickBot="1" x14ac:dyDescent="0.25">
      <c r="A12" s="16" t="s">
        <v>152</v>
      </c>
      <c r="B12" s="131"/>
      <c r="C12" s="2"/>
      <c r="D12" s="80" t="str">
        <f t="shared" si="0"/>
        <v/>
      </c>
      <c r="E12" s="81" t="str">
        <f>IF(B12&gt;0,SUM(T18:T180),"")</f>
        <v/>
      </c>
      <c r="F12" s="82" t="str">
        <f>IF(B12&gt;0,SUM(AD18:AD180),"")</f>
        <v/>
      </c>
      <c r="H12" s="2"/>
    </row>
    <row r="13" spans="1:24" x14ac:dyDescent="0.2">
      <c r="A13" s="2"/>
      <c r="B13" s="2"/>
      <c r="C13" s="2"/>
      <c r="D13" s="2"/>
      <c r="E13" s="2"/>
      <c r="F13" s="2"/>
      <c r="G13" s="2"/>
      <c r="H13" s="2"/>
      <c r="N13" s="2" t="s">
        <v>70</v>
      </c>
      <c r="X13" s="1" t="s">
        <v>71</v>
      </c>
    </row>
    <row r="14" spans="1:24" ht="13.5" thickBot="1" x14ac:dyDescent="0.25"/>
    <row r="15" spans="1:24" x14ac:dyDescent="0.2">
      <c r="A15" s="83" t="s">
        <v>42</v>
      </c>
      <c r="B15" s="84"/>
      <c r="C15" s="84"/>
      <c r="D15" s="84"/>
      <c r="E15" s="84"/>
      <c r="F15" s="84"/>
      <c r="G15" s="84"/>
      <c r="H15" s="84"/>
      <c r="I15" s="84"/>
      <c r="J15" s="85"/>
      <c r="W15" s="2"/>
    </row>
    <row r="16" spans="1:24" ht="14.25" customHeight="1" x14ac:dyDescent="0.2">
      <c r="A16" s="86"/>
      <c r="B16" s="87"/>
      <c r="C16" s="87"/>
      <c r="D16" s="87"/>
      <c r="E16" s="305" t="s">
        <v>262</v>
      </c>
      <c r="F16" s="87"/>
      <c r="G16" s="87"/>
      <c r="H16" s="87"/>
      <c r="I16" s="87"/>
      <c r="J16" s="88"/>
      <c r="W16" s="2"/>
    </row>
    <row r="17" spans="1:30" ht="14.25" x14ac:dyDescent="0.2">
      <c r="A17" s="86" t="s">
        <v>43</v>
      </c>
      <c r="B17" s="87" t="s">
        <v>63</v>
      </c>
      <c r="C17" s="87" t="s">
        <v>44</v>
      </c>
      <c r="D17" s="87" t="s">
        <v>45</v>
      </c>
      <c r="E17" s="306"/>
      <c r="F17" s="87" t="s">
        <v>46</v>
      </c>
      <c r="G17" s="87" t="s">
        <v>65</v>
      </c>
      <c r="H17" s="87" t="s">
        <v>47</v>
      </c>
      <c r="I17" s="89" t="s">
        <v>48</v>
      </c>
      <c r="J17" s="90" t="s">
        <v>49</v>
      </c>
      <c r="W17" s="2"/>
    </row>
    <row r="18" spans="1:30" ht="17.100000000000001" customHeight="1" x14ac:dyDescent="0.2">
      <c r="A18" s="132"/>
      <c r="B18" s="104">
        <v>1</v>
      </c>
      <c r="C18" s="134"/>
      <c r="D18" s="134"/>
      <c r="E18" s="134"/>
      <c r="F18" s="134"/>
      <c r="G18" s="135"/>
      <c r="H18" s="136"/>
      <c r="I18" s="91" t="str">
        <f>IF(AND(G18&gt;0,B18&gt;1),((IF(E18&gt;0,E18,(C18*D18)))*F18*G18)/2000,"")</f>
        <v/>
      </c>
      <c r="J18" s="92" t="str">
        <f>IF(AND(B18&gt;1,H18&gt;0),(I18/H18),"")</f>
        <v/>
      </c>
      <c r="M18" s="2">
        <f t="shared" ref="M18:M25" si="1">IF($B18=2,$I18,0)</f>
        <v>0</v>
      </c>
      <c r="N18" s="2">
        <f t="shared" ref="N18:N25" si="2">IF($B18=3,$I18,0)</f>
        <v>0</v>
      </c>
      <c r="O18" s="2">
        <f t="shared" ref="O18:O25" si="3">IF($B18=4,$I18,0)</f>
        <v>0</v>
      </c>
      <c r="P18" s="2">
        <f t="shared" ref="P18:P25" si="4">IF($B18=5,$I18,0)</f>
        <v>0</v>
      </c>
      <c r="Q18" s="2">
        <f t="shared" ref="Q18:Q25" si="5">IF($B18=6,$I18,0)</f>
        <v>0</v>
      </c>
      <c r="R18" s="2">
        <f t="shared" ref="R18:R25" si="6">IF($B18=7,$I18,0)</f>
        <v>0</v>
      </c>
      <c r="S18" s="2">
        <f t="shared" ref="S18:S25" si="7">IF($B18=8,$I18,0)</f>
        <v>0</v>
      </c>
      <c r="T18" s="2">
        <f t="shared" ref="T18:T25" si="8">IF($B18=9,$I18,0)</f>
        <v>0</v>
      </c>
      <c r="W18" s="2">
        <f t="shared" ref="W18:W25" si="9">IF($B18=2,$J18,0)</f>
        <v>0</v>
      </c>
      <c r="X18" s="1">
        <f t="shared" ref="X18:X25" si="10">IF($B18=3,$J18,0)</f>
        <v>0</v>
      </c>
      <c r="Y18" s="1">
        <f t="shared" ref="Y18:Y25" si="11">IF($B18=4,$J18,0)</f>
        <v>0</v>
      </c>
      <c r="Z18" s="1">
        <f t="shared" ref="Z18:Z25" si="12">IF($B18=5,$J18,0)</f>
        <v>0</v>
      </c>
      <c r="AA18" s="1">
        <f t="shared" ref="AA18:AA25" si="13">IF($B18=6,$J18,0)</f>
        <v>0</v>
      </c>
      <c r="AB18" s="1">
        <f t="shared" ref="AB18:AB25" si="14">IF($B18=7,$J18,0)</f>
        <v>0</v>
      </c>
      <c r="AC18" s="1">
        <f t="shared" ref="AC18:AC25" si="15">IF($B18=8,$J18,0)</f>
        <v>0</v>
      </c>
      <c r="AD18" s="1">
        <f t="shared" ref="AD18:AD25" si="16">IF($B18=9,$J18,0)</f>
        <v>0</v>
      </c>
    </row>
    <row r="19" spans="1:30" ht="17.100000000000001" customHeight="1" x14ac:dyDescent="0.2">
      <c r="A19" s="132"/>
      <c r="B19" s="104">
        <v>1</v>
      </c>
      <c r="C19" s="134"/>
      <c r="D19" s="134"/>
      <c r="E19" s="134"/>
      <c r="F19" s="134"/>
      <c r="G19" s="135"/>
      <c r="H19" s="136"/>
      <c r="I19" s="91" t="str">
        <f t="shared" ref="I19:I25" si="17">IF(AND(G19&gt;0,B19&gt;1),((IF(E19&gt;0,E19,(C19*D19)))*F19*G19)/2000,"")</f>
        <v/>
      </c>
      <c r="J19" s="92" t="str">
        <f t="shared" ref="J19:J25" si="18">IF(AND(B19&gt;1,H19&gt;0),(I19/H19),"")</f>
        <v/>
      </c>
      <c r="M19" s="2">
        <f t="shared" si="1"/>
        <v>0</v>
      </c>
      <c r="N19" s="2">
        <f t="shared" si="2"/>
        <v>0</v>
      </c>
      <c r="O19" s="2">
        <f t="shared" si="3"/>
        <v>0</v>
      </c>
      <c r="P19" s="2">
        <f t="shared" si="4"/>
        <v>0</v>
      </c>
      <c r="Q19" s="2">
        <f t="shared" si="5"/>
        <v>0</v>
      </c>
      <c r="R19" s="2">
        <f t="shared" si="6"/>
        <v>0</v>
      </c>
      <c r="S19" s="2">
        <f t="shared" si="7"/>
        <v>0</v>
      </c>
      <c r="T19" s="2">
        <f t="shared" si="8"/>
        <v>0</v>
      </c>
      <c r="W19" s="2">
        <f t="shared" si="9"/>
        <v>0</v>
      </c>
      <c r="X19" s="1">
        <f t="shared" si="10"/>
        <v>0</v>
      </c>
      <c r="Y19" s="1">
        <f t="shared" si="11"/>
        <v>0</v>
      </c>
      <c r="Z19" s="1">
        <f t="shared" si="12"/>
        <v>0</v>
      </c>
      <c r="AA19" s="1">
        <f t="shared" si="13"/>
        <v>0</v>
      </c>
      <c r="AB19" s="1">
        <f t="shared" si="14"/>
        <v>0</v>
      </c>
      <c r="AC19" s="1">
        <f t="shared" si="15"/>
        <v>0</v>
      </c>
      <c r="AD19" s="1">
        <f t="shared" si="16"/>
        <v>0</v>
      </c>
    </row>
    <row r="20" spans="1:30" ht="17.100000000000001" customHeight="1" x14ac:dyDescent="0.2">
      <c r="A20" s="132"/>
      <c r="B20" s="104">
        <v>1</v>
      </c>
      <c r="C20" s="134"/>
      <c r="D20" s="134"/>
      <c r="E20" s="134"/>
      <c r="F20" s="134"/>
      <c r="G20" s="135"/>
      <c r="H20" s="136"/>
      <c r="I20" s="91" t="str">
        <f t="shared" si="17"/>
        <v/>
      </c>
      <c r="J20" s="92" t="str">
        <f t="shared" si="18"/>
        <v/>
      </c>
      <c r="M20" s="2">
        <f t="shared" si="1"/>
        <v>0</v>
      </c>
      <c r="N20" s="2">
        <f t="shared" si="2"/>
        <v>0</v>
      </c>
      <c r="O20" s="2">
        <f t="shared" si="3"/>
        <v>0</v>
      </c>
      <c r="P20" s="2">
        <f t="shared" si="4"/>
        <v>0</v>
      </c>
      <c r="Q20" s="2">
        <f t="shared" si="5"/>
        <v>0</v>
      </c>
      <c r="R20" s="2">
        <f t="shared" si="6"/>
        <v>0</v>
      </c>
      <c r="S20" s="2">
        <f t="shared" si="7"/>
        <v>0</v>
      </c>
      <c r="T20" s="2">
        <f t="shared" si="8"/>
        <v>0</v>
      </c>
      <c r="W20" s="2">
        <f t="shared" si="9"/>
        <v>0</v>
      </c>
      <c r="X20" s="1">
        <f t="shared" si="10"/>
        <v>0</v>
      </c>
      <c r="Y20" s="1">
        <f t="shared" si="11"/>
        <v>0</v>
      </c>
      <c r="Z20" s="1">
        <f t="shared" si="12"/>
        <v>0</v>
      </c>
      <c r="AA20" s="1">
        <f t="shared" si="13"/>
        <v>0</v>
      </c>
      <c r="AB20" s="1">
        <f t="shared" si="14"/>
        <v>0</v>
      </c>
      <c r="AC20" s="1">
        <f t="shared" si="15"/>
        <v>0</v>
      </c>
      <c r="AD20" s="1">
        <f t="shared" si="16"/>
        <v>0</v>
      </c>
    </row>
    <row r="21" spans="1:30" ht="17.100000000000001" customHeight="1" x14ac:dyDescent="0.2">
      <c r="A21" s="132"/>
      <c r="B21" s="104">
        <v>1</v>
      </c>
      <c r="C21" s="134"/>
      <c r="D21" s="134"/>
      <c r="E21" s="134"/>
      <c r="F21" s="134"/>
      <c r="G21" s="135"/>
      <c r="H21" s="136"/>
      <c r="I21" s="91" t="str">
        <f t="shared" si="17"/>
        <v/>
      </c>
      <c r="J21" s="92" t="str">
        <f t="shared" si="18"/>
        <v/>
      </c>
      <c r="M21" s="2">
        <f t="shared" si="1"/>
        <v>0</v>
      </c>
      <c r="N21" s="2">
        <f t="shared" si="2"/>
        <v>0</v>
      </c>
      <c r="O21" s="2">
        <f t="shared" si="3"/>
        <v>0</v>
      </c>
      <c r="P21" s="2">
        <f t="shared" si="4"/>
        <v>0</v>
      </c>
      <c r="Q21" s="2">
        <f t="shared" si="5"/>
        <v>0</v>
      </c>
      <c r="R21" s="2">
        <f t="shared" si="6"/>
        <v>0</v>
      </c>
      <c r="S21" s="2">
        <f t="shared" si="7"/>
        <v>0</v>
      </c>
      <c r="T21" s="2">
        <f t="shared" si="8"/>
        <v>0</v>
      </c>
      <c r="W21" s="2">
        <f t="shared" si="9"/>
        <v>0</v>
      </c>
      <c r="X21" s="1">
        <f t="shared" si="10"/>
        <v>0</v>
      </c>
      <c r="Y21" s="1">
        <f t="shared" si="11"/>
        <v>0</v>
      </c>
      <c r="Z21" s="1">
        <f t="shared" si="12"/>
        <v>0</v>
      </c>
      <c r="AA21" s="1">
        <f t="shared" si="13"/>
        <v>0</v>
      </c>
      <c r="AB21" s="1">
        <f t="shared" si="14"/>
        <v>0</v>
      </c>
      <c r="AC21" s="1">
        <f t="shared" si="15"/>
        <v>0</v>
      </c>
      <c r="AD21" s="1">
        <f t="shared" si="16"/>
        <v>0</v>
      </c>
    </row>
    <row r="22" spans="1:30" ht="17.100000000000001" customHeight="1" x14ac:dyDescent="0.2">
      <c r="A22" s="132"/>
      <c r="B22" s="104">
        <v>1</v>
      </c>
      <c r="C22" s="134"/>
      <c r="D22" s="134"/>
      <c r="E22" s="134"/>
      <c r="F22" s="134"/>
      <c r="G22" s="135"/>
      <c r="H22" s="136"/>
      <c r="I22" s="91" t="str">
        <f t="shared" si="17"/>
        <v/>
      </c>
      <c r="J22" s="92" t="str">
        <f t="shared" si="18"/>
        <v/>
      </c>
      <c r="M22" s="2">
        <f t="shared" si="1"/>
        <v>0</v>
      </c>
      <c r="N22" s="2">
        <f t="shared" si="2"/>
        <v>0</v>
      </c>
      <c r="O22" s="2">
        <f t="shared" si="3"/>
        <v>0</v>
      </c>
      <c r="P22" s="2">
        <f t="shared" si="4"/>
        <v>0</v>
      </c>
      <c r="Q22" s="2">
        <f t="shared" si="5"/>
        <v>0</v>
      </c>
      <c r="R22" s="2">
        <f t="shared" si="6"/>
        <v>0</v>
      </c>
      <c r="S22" s="2">
        <f t="shared" si="7"/>
        <v>0</v>
      </c>
      <c r="T22" s="2">
        <f t="shared" si="8"/>
        <v>0</v>
      </c>
      <c r="W22" s="2">
        <f t="shared" si="9"/>
        <v>0</v>
      </c>
      <c r="X22" s="1">
        <f t="shared" si="10"/>
        <v>0</v>
      </c>
      <c r="Y22" s="1">
        <f t="shared" si="11"/>
        <v>0</v>
      </c>
      <c r="Z22" s="1">
        <f t="shared" si="12"/>
        <v>0</v>
      </c>
      <c r="AA22" s="1">
        <f t="shared" si="13"/>
        <v>0</v>
      </c>
      <c r="AB22" s="1">
        <f t="shared" si="14"/>
        <v>0</v>
      </c>
      <c r="AC22" s="1">
        <f t="shared" si="15"/>
        <v>0</v>
      </c>
      <c r="AD22" s="1">
        <f t="shared" si="16"/>
        <v>0</v>
      </c>
    </row>
    <row r="23" spans="1:30" ht="17.100000000000001" customHeight="1" x14ac:dyDescent="0.2">
      <c r="A23" s="132"/>
      <c r="B23" s="104">
        <v>1</v>
      </c>
      <c r="C23" s="134"/>
      <c r="D23" s="134"/>
      <c r="E23" s="134"/>
      <c r="F23" s="134"/>
      <c r="G23" s="135"/>
      <c r="H23" s="136"/>
      <c r="I23" s="91" t="str">
        <f t="shared" si="17"/>
        <v/>
      </c>
      <c r="J23" s="92" t="str">
        <f t="shared" si="18"/>
        <v/>
      </c>
      <c r="M23" s="2">
        <f t="shared" si="1"/>
        <v>0</v>
      </c>
      <c r="N23" s="2">
        <f t="shared" si="2"/>
        <v>0</v>
      </c>
      <c r="O23" s="2">
        <f t="shared" si="3"/>
        <v>0</v>
      </c>
      <c r="P23" s="2">
        <f t="shared" si="4"/>
        <v>0</v>
      </c>
      <c r="Q23" s="2">
        <f t="shared" si="5"/>
        <v>0</v>
      </c>
      <c r="R23" s="2">
        <f t="shared" si="6"/>
        <v>0</v>
      </c>
      <c r="S23" s="2">
        <f t="shared" si="7"/>
        <v>0</v>
      </c>
      <c r="T23" s="2">
        <f t="shared" si="8"/>
        <v>0</v>
      </c>
      <c r="W23" s="2">
        <f t="shared" si="9"/>
        <v>0</v>
      </c>
      <c r="X23" s="1">
        <f t="shared" si="10"/>
        <v>0</v>
      </c>
      <c r="Y23" s="1">
        <f t="shared" si="11"/>
        <v>0</v>
      </c>
      <c r="Z23" s="1">
        <f t="shared" si="12"/>
        <v>0</v>
      </c>
      <c r="AA23" s="1">
        <f t="shared" si="13"/>
        <v>0</v>
      </c>
      <c r="AB23" s="1">
        <f t="shared" si="14"/>
        <v>0</v>
      </c>
      <c r="AC23" s="1">
        <f t="shared" si="15"/>
        <v>0</v>
      </c>
      <c r="AD23" s="1">
        <f t="shared" si="16"/>
        <v>0</v>
      </c>
    </row>
    <row r="24" spans="1:30" ht="17.100000000000001" customHeight="1" x14ac:dyDescent="0.2">
      <c r="A24" s="132"/>
      <c r="B24" s="104">
        <v>1</v>
      </c>
      <c r="C24" s="134"/>
      <c r="D24" s="134"/>
      <c r="E24" s="134"/>
      <c r="F24" s="134"/>
      <c r="G24" s="135"/>
      <c r="H24" s="136"/>
      <c r="I24" s="91" t="str">
        <f t="shared" si="17"/>
        <v/>
      </c>
      <c r="J24" s="92" t="str">
        <f t="shared" si="18"/>
        <v/>
      </c>
      <c r="M24" s="2">
        <f t="shared" si="1"/>
        <v>0</v>
      </c>
      <c r="N24" s="2">
        <f t="shared" si="2"/>
        <v>0</v>
      </c>
      <c r="O24" s="2">
        <f t="shared" si="3"/>
        <v>0</v>
      </c>
      <c r="P24" s="2">
        <f t="shared" si="4"/>
        <v>0</v>
      </c>
      <c r="Q24" s="2">
        <f t="shared" si="5"/>
        <v>0</v>
      </c>
      <c r="R24" s="2">
        <f t="shared" si="6"/>
        <v>0</v>
      </c>
      <c r="S24" s="2">
        <f t="shared" si="7"/>
        <v>0</v>
      </c>
      <c r="T24" s="2">
        <f t="shared" si="8"/>
        <v>0</v>
      </c>
      <c r="W24" s="2">
        <f t="shared" si="9"/>
        <v>0</v>
      </c>
      <c r="X24" s="1">
        <f t="shared" si="10"/>
        <v>0</v>
      </c>
      <c r="Y24" s="1">
        <f t="shared" si="11"/>
        <v>0</v>
      </c>
      <c r="Z24" s="1">
        <f t="shared" si="12"/>
        <v>0</v>
      </c>
      <c r="AA24" s="1">
        <f t="shared" si="13"/>
        <v>0</v>
      </c>
      <c r="AB24" s="1">
        <f t="shared" si="14"/>
        <v>0</v>
      </c>
      <c r="AC24" s="1">
        <f t="shared" si="15"/>
        <v>0</v>
      </c>
      <c r="AD24" s="1">
        <f t="shared" si="16"/>
        <v>0</v>
      </c>
    </row>
    <row r="25" spans="1:30" ht="17.100000000000001" customHeight="1" thickBot="1" x14ac:dyDescent="0.25">
      <c r="A25" s="133"/>
      <c r="B25" s="105">
        <v>1</v>
      </c>
      <c r="C25" s="137"/>
      <c r="D25" s="137"/>
      <c r="E25" s="137"/>
      <c r="F25" s="137"/>
      <c r="G25" s="138"/>
      <c r="H25" s="139"/>
      <c r="I25" s="93" t="str">
        <f t="shared" si="17"/>
        <v/>
      </c>
      <c r="J25" s="94" t="str">
        <f t="shared" si="18"/>
        <v/>
      </c>
      <c r="M25" s="2">
        <f t="shared" si="1"/>
        <v>0</v>
      </c>
      <c r="N25" s="2">
        <f t="shared" si="2"/>
        <v>0</v>
      </c>
      <c r="O25" s="2">
        <f t="shared" si="3"/>
        <v>0</v>
      </c>
      <c r="P25" s="2">
        <f t="shared" si="4"/>
        <v>0</v>
      </c>
      <c r="Q25" s="2">
        <f t="shared" si="5"/>
        <v>0</v>
      </c>
      <c r="R25" s="2">
        <f t="shared" si="6"/>
        <v>0</v>
      </c>
      <c r="S25" s="2">
        <f t="shared" si="7"/>
        <v>0</v>
      </c>
      <c r="T25" s="2">
        <f t="shared" si="8"/>
        <v>0</v>
      </c>
      <c r="W25" s="2">
        <f t="shared" si="9"/>
        <v>0</v>
      </c>
      <c r="X25" s="1">
        <f t="shared" si="10"/>
        <v>0</v>
      </c>
      <c r="Y25" s="1">
        <f t="shared" si="11"/>
        <v>0</v>
      </c>
      <c r="Z25" s="1">
        <f t="shared" si="12"/>
        <v>0</v>
      </c>
      <c r="AA25" s="1">
        <f t="shared" si="13"/>
        <v>0</v>
      </c>
      <c r="AB25" s="1">
        <f t="shared" si="14"/>
        <v>0</v>
      </c>
      <c r="AC25" s="1">
        <f t="shared" si="15"/>
        <v>0</v>
      </c>
      <c r="AD25" s="1">
        <f t="shared" si="16"/>
        <v>0</v>
      </c>
    </row>
    <row r="26" spans="1:30" ht="13.5" thickBot="1" x14ac:dyDescent="0.25"/>
    <row r="27" spans="1:30" x14ac:dyDescent="0.2">
      <c r="A27" s="83" t="s">
        <v>50</v>
      </c>
      <c r="B27" s="84"/>
      <c r="C27" s="84"/>
      <c r="D27" s="84"/>
      <c r="E27" s="84"/>
      <c r="F27" s="84"/>
      <c r="G27" s="84"/>
      <c r="H27" s="84"/>
      <c r="I27" s="84"/>
      <c r="J27" s="84"/>
      <c r="K27" s="125"/>
      <c r="L27" s="77"/>
      <c r="W27" s="2"/>
    </row>
    <row r="28" spans="1:30" ht="14.25" customHeight="1" x14ac:dyDescent="0.2">
      <c r="A28" s="86"/>
      <c r="B28" s="87"/>
      <c r="C28" s="87"/>
      <c r="D28" s="87"/>
      <c r="E28" s="305" t="s">
        <v>54</v>
      </c>
      <c r="F28" s="305" t="s">
        <v>262</v>
      </c>
      <c r="G28" s="87"/>
      <c r="H28" s="87"/>
      <c r="I28" s="87"/>
      <c r="J28" s="87"/>
      <c r="K28" s="126"/>
      <c r="L28" s="77"/>
      <c r="W28" s="2"/>
    </row>
    <row r="29" spans="1:30" ht="14.25" x14ac:dyDescent="0.2">
      <c r="A29" s="86" t="s">
        <v>51</v>
      </c>
      <c r="B29" s="87" t="s">
        <v>63</v>
      </c>
      <c r="C29" s="95" t="s">
        <v>52</v>
      </c>
      <c r="D29" s="95" t="s">
        <v>53</v>
      </c>
      <c r="E29" s="306"/>
      <c r="F29" s="306"/>
      <c r="G29" s="95" t="s">
        <v>55</v>
      </c>
      <c r="H29" s="95" t="s">
        <v>65</v>
      </c>
      <c r="I29" s="95" t="s">
        <v>47</v>
      </c>
      <c r="J29" s="89" t="s">
        <v>48</v>
      </c>
      <c r="K29" s="126" t="s">
        <v>49</v>
      </c>
      <c r="L29" s="77"/>
      <c r="W29" s="2"/>
    </row>
    <row r="30" spans="1:30" ht="17.100000000000001" customHeight="1" x14ac:dyDescent="0.2">
      <c r="A30" s="132"/>
      <c r="B30" s="104">
        <v>1</v>
      </c>
      <c r="C30" s="134"/>
      <c r="D30" s="134"/>
      <c r="E30" s="134"/>
      <c r="F30" s="134"/>
      <c r="G30" s="134"/>
      <c r="H30" s="135"/>
      <c r="I30" s="136"/>
      <c r="J30" s="96" t="str">
        <f>IF(AND(H30&gt;0,B30&gt;1),(IF(F30="",(AVERAGE(C30:D30)*E30),F30)*G30*H30)/2000,"")</f>
        <v/>
      </c>
      <c r="K30" s="127" t="str">
        <f>IF(AND(B30&gt;1,I30&gt;0),(J30/I30),"")</f>
        <v/>
      </c>
      <c r="L30" s="77"/>
      <c r="M30" s="2">
        <f t="shared" ref="M30:M37" si="19">IF($B30=2,$J30,0)</f>
        <v>0</v>
      </c>
      <c r="N30" s="2">
        <f t="shared" ref="N30:N37" si="20">IF($B30=3,$J30,0)</f>
        <v>0</v>
      </c>
      <c r="O30" s="2">
        <f t="shared" ref="O30:O37" si="21">IF($B30=4,$J30,0)</f>
        <v>0</v>
      </c>
      <c r="P30" s="2">
        <f t="shared" ref="P30:P37" si="22">IF($B30=5,$J30,0)</f>
        <v>0</v>
      </c>
      <c r="Q30" s="2">
        <f t="shared" ref="Q30:Q37" si="23">IF($B30=6,$J30,0)</f>
        <v>0</v>
      </c>
      <c r="R30" s="2">
        <f t="shared" ref="R30:R37" si="24">IF($B30=7,$J30,0)</f>
        <v>0</v>
      </c>
      <c r="S30" s="2">
        <f t="shared" ref="S30:S37" si="25">IF($B30=8,$J30,0)</f>
        <v>0</v>
      </c>
      <c r="T30" s="2">
        <f t="shared" ref="T30:T37" si="26">IF($B30=9,$J30,0)</f>
        <v>0</v>
      </c>
      <c r="W30" s="2">
        <f t="shared" ref="W30:W37" si="27">IF($B30=2,$K30,0)</f>
        <v>0</v>
      </c>
      <c r="X30" s="1">
        <f t="shared" ref="X30:X37" si="28">IF($B30=3,$K30,0)</f>
        <v>0</v>
      </c>
      <c r="Y30" s="1">
        <f t="shared" ref="Y30:Y37" si="29">IF($B30=4,$K30,0)</f>
        <v>0</v>
      </c>
      <c r="Z30" s="1">
        <f t="shared" ref="Z30:Z37" si="30">IF($B30=5,$K30,0)</f>
        <v>0</v>
      </c>
      <c r="AA30" s="1">
        <f t="shared" ref="AA30:AA37" si="31">IF($B30=6,$K30,0)</f>
        <v>0</v>
      </c>
      <c r="AB30" s="1">
        <f t="shared" ref="AB30:AB37" si="32">IF($B30=7,$K30,0)</f>
        <v>0</v>
      </c>
      <c r="AC30" s="1">
        <f t="shared" ref="AC30:AC37" si="33">IF($B30=8,$K30,0)</f>
        <v>0</v>
      </c>
      <c r="AD30" s="1">
        <f t="shared" ref="AD30:AD37" si="34">IF($B30=9,$K30,0)</f>
        <v>0</v>
      </c>
    </row>
    <row r="31" spans="1:30" ht="17.100000000000001" customHeight="1" x14ac:dyDescent="0.2">
      <c r="A31" s="132"/>
      <c r="B31" s="104">
        <v>1</v>
      </c>
      <c r="C31" s="134"/>
      <c r="D31" s="134"/>
      <c r="E31" s="134"/>
      <c r="F31" s="134"/>
      <c r="G31" s="134"/>
      <c r="H31" s="135"/>
      <c r="I31" s="136"/>
      <c r="J31" s="96" t="str">
        <f t="shared" ref="J31:J37" si="35">IF(AND(H31&gt;0,B31&gt;1),(IF(F31="",(AVERAGE(C31:D31)*E31),F31)*G31*H31)/2000,"")</f>
        <v/>
      </c>
      <c r="K31" s="127" t="str">
        <f t="shared" ref="K31:K37" si="36">IF(AND(B31&gt;1,I31&gt;0),(J31/I31),"")</f>
        <v/>
      </c>
      <c r="L31" s="77"/>
      <c r="M31" s="2">
        <f t="shared" si="19"/>
        <v>0</v>
      </c>
      <c r="N31" s="2">
        <f t="shared" si="20"/>
        <v>0</v>
      </c>
      <c r="O31" s="2">
        <f t="shared" si="21"/>
        <v>0</v>
      </c>
      <c r="P31" s="2">
        <f t="shared" si="22"/>
        <v>0</v>
      </c>
      <c r="Q31" s="2">
        <f t="shared" si="23"/>
        <v>0</v>
      </c>
      <c r="R31" s="2">
        <f t="shared" si="24"/>
        <v>0</v>
      </c>
      <c r="S31" s="2">
        <f t="shared" si="25"/>
        <v>0</v>
      </c>
      <c r="T31" s="2">
        <f t="shared" si="26"/>
        <v>0</v>
      </c>
      <c r="W31" s="2">
        <f t="shared" si="27"/>
        <v>0</v>
      </c>
      <c r="X31" s="1">
        <f t="shared" si="28"/>
        <v>0</v>
      </c>
      <c r="Y31" s="1">
        <f t="shared" si="29"/>
        <v>0</v>
      </c>
      <c r="Z31" s="1">
        <f t="shared" si="30"/>
        <v>0</v>
      </c>
      <c r="AA31" s="1">
        <f t="shared" si="31"/>
        <v>0</v>
      </c>
      <c r="AB31" s="1">
        <f t="shared" si="32"/>
        <v>0</v>
      </c>
      <c r="AC31" s="1">
        <f t="shared" si="33"/>
        <v>0</v>
      </c>
      <c r="AD31" s="1">
        <f t="shared" si="34"/>
        <v>0</v>
      </c>
    </row>
    <row r="32" spans="1:30" ht="17.100000000000001" customHeight="1" x14ac:dyDescent="0.2">
      <c r="A32" s="132"/>
      <c r="B32" s="104">
        <v>1</v>
      </c>
      <c r="C32" s="134"/>
      <c r="D32" s="134"/>
      <c r="E32" s="134"/>
      <c r="F32" s="134"/>
      <c r="G32" s="134"/>
      <c r="H32" s="135"/>
      <c r="I32" s="136"/>
      <c r="J32" s="96" t="str">
        <f t="shared" si="35"/>
        <v/>
      </c>
      <c r="K32" s="127" t="str">
        <f t="shared" si="36"/>
        <v/>
      </c>
      <c r="L32" s="77"/>
      <c r="M32" s="2">
        <f t="shared" si="19"/>
        <v>0</v>
      </c>
      <c r="N32" s="2">
        <f t="shared" si="20"/>
        <v>0</v>
      </c>
      <c r="O32" s="2">
        <f t="shared" si="21"/>
        <v>0</v>
      </c>
      <c r="P32" s="2">
        <f t="shared" si="22"/>
        <v>0</v>
      </c>
      <c r="Q32" s="2">
        <f t="shared" si="23"/>
        <v>0</v>
      </c>
      <c r="R32" s="2">
        <f t="shared" si="24"/>
        <v>0</v>
      </c>
      <c r="S32" s="2">
        <f t="shared" si="25"/>
        <v>0</v>
      </c>
      <c r="T32" s="2">
        <f t="shared" si="26"/>
        <v>0</v>
      </c>
      <c r="W32" s="2">
        <f t="shared" si="27"/>
        <v>0</v>
      </c>
      <c r="X32" s="1">
        <f t="shared" si="28"/>
        <v>0</v>
      </c>
      <c r="Y32" s="1">
        <f t="shared" si="29"/>
        <v>0</v>
      </c>
      <c r="Z32" s="1">
        <f t="shared" si="30"/>
        <v>0</v>
      </c>
      <c r="AA32" s="1">
        <f t="shared" si="31"/>
        <v>0</v>
      </c>
      <c r="AB32" s="1">
        <f t="shared" si="32"/>
        <v>0</v>
      </c>
      <c r="AC32" s="1">
        <f t="shared" si="33"/>
        <v>0</v>
      </c>
      <c r="AD32" s="1">
        <f t="shared" si="34"/>
        <v>0</v>
      </c>
    </row>
    <row r="33" spans="1:30" ht="17.100000000000001" customHeight="1" x14ac:dyDescent="0.2">
      <c r="A33" s="132"/>
      <c r="B33" s="104"/>
      <c r="C33" s="134"/>
      <c r="D33" s="134"/>
      <c r="E33" s="134"/>
      <c r="F33" s="134"/>
      <c r="G33" s="134"/>
      <c r="H33" s="135"/>
      <c r="I33" s="136"/>
      <c r="J33" s="96" t="str">
        <f t="shared" si="35"/>
        <v/>
      </c>
      <c r="K33" s="127" t="str">
        <f t="shared" si="36"/>
        <v/>
      </c>
      <c r="L33" s="77"/>
      <c r="M33" s="2">
        <f t="shared" si="19"/>
        <v>0</v>
      </c>
      <c r="N33" s="2">
        <f t="shared" si="20"/>
        <v>0</v>
      </c>
      <c r="O33" s="2">
        <f t="shared" si="21"/>
        <v>0</v>
      </c>
      <c r="P33" s="2">
        <f t="shared" si="22"/>
        <v>0</v>
      </c>
      <c r="Q33" s="2">
        <f t="shared" si="23"/>
        <v>0</v>
      </c>
      <c r="R33" s="2">
        <f t="shared" si="24"/>
        <v>0</v>
      </c>
      <c r="S33" s="2">
        <f t="shared" si="25"/>
        <v>0</v>
      </c>
      <c r="T33" s="2">
        <f t="shared" si="26"/>
        <v>0</v>
      </c>
      <c r="W33" s="2">
        <f t="shared" si="27"/>
        <v>0</v>
      </c>
      <c r="X33" s="1">
        <f t="shared" si="28"/>
        <v>0</v>
      </c>
      <c r="Y33" s="1">
        <f t="shared" si="29"/>
        <v>0</v>
      </c>
      <c r="Z33" s="1">
        <f t="shared" si="30"/>
        <v>0</v>
      </c>
      <c r="AA33" s="1">
        <f t="shared" si="31"/>
        <v>0</v>
      </c>
      <c r="AB33" s="1">
        <f t="shared" si="32"/>
        <v>0</v>
      </c>
      <c r="AC33" s="1">
        <f t="shared" si="33"/>
        <v>0</v>
      </c>
      <c r="AD33" s="1">
        <f t="shared" si="34"/>
        <v>0</v>
      </c>
    </row>
    <row r="34" spans="1:30" ht="17.100000000000001" customHeight="1" x14ac:dyDescent="0.2">
      <c r="A34" s="132"/>
      <c r="B34" s="104">
        <v>1</v>
      </c>
      <c r="C34" s="134"/>
      <c r="D34" s="134"/>
      <c r="E34" s="134"/>
      <c r="F34" s="134"/>
      <c r="G34" s="134"/>
      <c r="H34" s="135"/>
      <c r="I34" s="136"/>
      <c r="J34" s="96" t="str">
        <f t="shared" si="35"/>
        <v/>
      </c>
      <c r="K34" s="127" t="str">
        <f t="shared" si="36"/>
        <v/>
      </c>
      <c r="L34" s="77"/>
      <c r="M34" s="2">
        <f t="shared" si="19"/>
        <v>0</v>
      </c>
      <c r="N34" s="2">
        <f t="shared" si="20"/>
        <v>0</v>
      </c>
      <c r="O34" s="2">
        <f t="shared" si="21"/>
        <v>0</v>
      </c>
      <c r="P34" s="2">
        <f t="shared" si="22"/>
        <v>0</v>
      </c>
      <c r="Q34" s="2">
        <f t="shared" si="23"/>
        <v>0</v>
      </c>
      <c r="R34" s="2">
        <f t="shared" si="24"/>
        <v>0</v>
      </c>
      <c r="S34" s="2">
        <f t="shared" si="25"/>
        <v>0</v>
      </c>
      <c r="T34" s="2">
        <f t="shared" si="26"/>
        <v>0</v>
      </c>
      <c r="W34" s="2">
        <f t="shared" si="27"/>
        <v>0</v>
      </c>
      <c r="X34" s="1">
        <f t="shared" si="28"/>
        <v>0</v>
      </c>
      <c r="Y34" s="1">
        <f t="shared" si="29"/>
        <v>0</v>
      </c>
      <c r="Z34" s="1">
        <f t="shared" si="30"/>
        <v>0</v>
      </c>
      <c r="AA34" s="1">
        <f t="shared" si="31"/>
        <v>0</v>
      </c>
      <c r="AB34" s="1">
        <f t="shared" si="32"/>
        <v>0</v>
      </c>
      <c r="AC34" s="1">
        <f t="shared" si="33"/>
        <v>0</v>
      </c>
      <c r="AD34" s="1">
        <f t="shared" si="34"/>
        <v>0</v>
      </c>
    </row>
    <row r="35" spans="1:30" ht="17.100000000000001" customHeight="1" x14ac:dyDescent="0.2">
      <c r="A35" s="132"/>
      <c r="B35" s="104">
        <v>1</v>
      </c>
      <c r="C35" s="134"/>
      <c r="D35" s="134"/>
      <c r="E35" s="134"/>
      <c r="F35" s="134"/>
      <c r="G35" s="134"/>
      <c r="H35" s="135"/>
      <c r="I35" s="136"/>
      <c r="J35" s="96" t="str">
        <f t="shared" si="35"/>
        <v/>
      </c>
      <c r="K35" s="127" t="str">
        <f t="shared" si="36"/>
        <v/>
      </c>
      <c r="L35" s="77"/>
      <c r="M35" s="2">
        <f t="shared" si="19"/>
        <v>0</v>
      </c>
      <c r="N35" s="2">
        <f t="shared" si="20"/>
        <v>0</v>
      </c>
      <c r="O35" s="2">
        <f t="shared" si="21"/>
        <v>0</v>
      </c>
      <c r="P35" s="2">
        <f t="shared" si="22"/>
        <v>0</v>
      </c>
      <c r="Q35" s="2">
        <f t="shared" si="23"/>
        <v>0</v>
      </c>
      <c r="R35" s="2">
        <f t="shared" si="24"/>
        <v>0</v>
      </c>
      <c r="S35" s="2">
        <f t="shared" si="25"/>
        <v>0</v>
      </c>
      <c r="T35" s="2">
        <f t="shared" si="26"/>
        <v>0</v>
      </c>
      <c r="W35" s="2">
        <f t="shared" si="27"/>
        <v>0</v>
      </c>
      <c r="X35" s="1">
        <f t="shared" si="28"/>
        <v>0</v>
      </c>
      <c r="Y35" s="1">
        <f t="shared" si="29"/>
        <v>0</v>
      </c>
      <c r="Z35" s="1">
        <f t="shared" si="30"/>
        <v>0</v>
      </c>
      <c r="AA35" s="1">
        <f t="shared" si="31"/>
        <v>0</v>
      </c>
      <c r="AB35" s="1">
        <f t="shared" si="32"/>
        <v>0</v>
      </c>
      <c r="AC35" s="1">
        <f t="shared" si="33"/>
        <v>0</v>
      </c>
      <c r="AD35" s="1">
        <f t="shared" si="34"/>
        <v>0</v>
      </c>
    </row>
    <row r="36" spans="1:30" ht="17.100000000000001" customHeight="1" x14ac:dyDescent="0.2">
      <c r="A36" s="132"/>
      <c r="B36" s="104">
        <v>1</v>
      </c>
      <c r="C36" s="134"/>
      <c r="D36" s="134"/>
      <c r="E36" s="134"/>
      <c r="F36" s="134"/>
      <c r="G36" s="134"/>
      <c r="H36" s="135"/>
      <c r="I36" s="136"/>
      <c r="J36" s="96" t="str">
        <f t="shared" si="35"/>
        <v/>
      </c>
      <c r="K36" s="127" t="str">
        <f t="shared" si="36"/>
        <v/>
      </c>
      <c r="L36" s="77"/>
      <c r="M36" s="2">
        <f t="shared" si="19"/>
        <v>0</v>
      </c>
      <c r="N36" s="2">
        <f t="shared" si="20"/>
        <v>0</v>
      </c>
      <c r="O36" s="2">
        <f t="shared" si="21"/>
        <v>0</v>
      </c>
      <c r="P36" s="2">
        <f t="shared" si="22"/>
        <v>0</v>
      </c>
      <c r="Q36" s="2">
        <f t="shared" si="23"/>
        <v>0</v>
      </c>
      <c r="R36" s="2">
        <f t="shared" si="24"/>
        <v>0</v>
      </c>
      <c r="S36" s="2">
        <f t="shared" si="25"/>
        <v>0</v>
      </c>
      <c r="T36" s="2">
        <f t="shared" si="26"/>
        <v>0</v>
      </c>
      <c r="W36" s="2">
        <f t="shared" si="27"/>
        <v>0</v>
      </c>
      <c r="X36" s="1">
        <f t="shared" si="28"/>
        <v>0</v>
      </c>
      <c r="Y36" s="1">
        <f t="shared" si="29"/>
        <v>0</v>
      </c>
      <c r="Z36" s="1">
        <f t="shared" si="30"/>
        <v>0</v>
      </c>
      <c r="AA36" s="1">
        <f t="shared" si="31"/>
        <v>0</v>
      </c>
      <c r="AB36" s="1">
        <f t="shared" si="32"/>
        <v>0</v>
      </c>
      <c r="AC36" s="1">
        <f t="shared" si="33"/>
        <v>0</v>
      </c>
      <c r="AD36" s="1">
        <f t="shared" si="34"/>
        <v>0</v>
      </c>
    </row>
    <row r="37" spans="1:30" ht="17.100000000000001" customHeight="1" thickBot="1" x14ac:dyDescent="0.25">
      <c r="A37" s="133"/>
      <c r="B37" s="105">
        <v>1</v>
      </c>
      <c r="C37" s="137"/>
      <c r="D37" s="137"/>
      <c r="E37" s="137"/>
      <c r="F37" s="137"/>
      <c r="G37" s="137"/>
      <c r="H37" s="138"/>
      <c r="I37" s="139"/>
      <c r="J37" s="97" t="str">
        <f t="shared" si="35"/>
        <v/>
      </c>
      <c r="K37" s="128" t="str">
        <f t="shared" si="36"/>
        <v/>
      </c>
      <c r="L37" s="77"/>
      <c r="M37" s="2">
        <f t="shared" si="19"/>
        <v>0</v>
      </c>
      <c r="N37" s="2">
        <f t="shared" si="20"/>
        <v>0</v>
      </c>
      <c r="O37" s="2">
        <f t="shared" si="21"/>
        <v>0</v>
      </c>
      <c r="P37" s="2">
        <f t="shared" si="22"/>
        <v>0</v>
      </c>
      <c r="Q37" s="2">
        <f t="shared" si="23"/>
        <v>0</v>
      </c>
      <c r="R37" s="2">
        <f t="shared" si="24"/>
        <v>0</v>
      </c>
      <c r="S37" s="2">
        <f t="shared" si="25"/>
        <v>0</v>
      </c>
      <c r="T37" s="2">
        <f t="shared" si="26"/>
        <v>0</v>
      </c>
      <c r="W37" s="2">
        <f t="shared" si="27"/>
        <v>0</v>
      </c>
      <c r="X37" s="1">
        <f t="shared" si="28"/>
        <v>0</v>
      </c>
      <c r="Y37" s="1">
        <f t="shared" si="29"/>
        <v>0</v>
      </c>
      <c r="Z37" s="1">
        <f t="shared" si="30"/>
        <v>0</v>
      </c>
      <c r="AA37" s="1">
        <f t="shared" si="31"/>
        <v>0</v>
      </c>
      <c r="AB37" s="1">
        <f t="shared" si="32"/>
        <v>0</v>
      </c>
      <c r="AC37" s="1">
        <f t="shared" si="33"/>
        <v>0</v>
      </c>
      <c r="AD37" s="1">
        <f t="shared" si="34"/>
        <v>0</v>
      </c>
    </row>
    <row r="38" spans="1:30" ht="13.5" thickBot="1" x14ac:dyDescent="0.25">
      <c r="A38" s="98"/>
      <c r="B38" s="98"/>
      <c r="C38" s="98"/>
      <c r="D38" s="98"/>
      <c r="E38" s="98"/>
      <c r="F38" s="98"/>
      <c r="G38" s="98"/>
      <c r="H38" s="99"/>
      <c r="I38" s="98"/>
      <c r="J38" s="129"/>
      <c r="L38" s="295"/>
      <c r="W38" s="2"/>
    </row>
    <row r="39" spans="1:30" x14ac:dyDescent="0.2">
      <c r="A39" s="83" t="s">
        <v>56</v>
      </c>
      <c r="B39" s="84"/>
      <c r="C39" s="84"/>
      <c r="D39" s="84"/>
      <c r="E39" s="84"/>
      <c r="F39" s="84"/>
      <c r="G39" s="84"/>
      <c r="H39" s="85"/>
      <c r="L39" s="295"/>
      <c r="W39" s="2"/>
    </row>
    <row r="40" spans="1:30" x14ac:dyDescent="0.2">
      <c r="A40" s="86"/>
      <c r="B40" s="87"/>
      <c r="C40" s="87"/>
      <c r="D40" s="87"/>
      <c r="E40" s="87"/>
      <c r="F40" s="87"/>
      <c r="G40" s="87"/>
      <c r="H40" s="88"/>
      <c r="L40" s="295"/>
      <c r="W40" s="2"/>
    </row>
    <row r="41" spans="1:30" ht="14.25" x14ac:dyDescent="0.2">
      <c r="A41" s="86" t="s">
        <v>57</v>
      </c>
      <c r="B41" s="87" t="s">
        <v>63</v>
      </c>
      <c r="C41" s="95" t="s">
        <v>58</v>
      </c>
      <c r="D41" s="95" t="s">
        <v>46</v>
      </c>
      <c r="E41" s="95" t="s">
        <v>65</v>
      </c>
      <c r="F41" s="95" t="s">
        <v>47</v>
      </c>
      <c r="G41" s="89" t="s">
        <v>48</v>
      </c>
      <c r="H41" s="90" t="s">
        <v>49</v>
      </c>
      <c r="L41" s="295"/>
      <c r="W41" s="2"/>
    </row>
    <row r="42" spans="1:30" ht="17.100000000000001" customHeight="1" x14ac:dyDescent="0.2">
      <c r="A42" s="132"/>
      <c r="B42" s="104">
        <v>1</v>
      </c>
      <c r="C42" s="134"/>
      <c r="D42" s="134"/>
      <c r="E42" s="135"/>
      <c r="F42" s="136"/>
      <c r="G42" s="91" t="str">
        <f>IF(AND(B42&gt;1,E42&gt;0),((C42/2)^2*PI()*D42*E42)/2000,"")</f>
        <v/>
      </c>
      <c r="H42" s="92" t="str">
        <f>IF(AND(F42&gt;0,B42&gt;1),((C42/2)^2*PI()*D42*(E42/F42))/2000,"")</f>
        <v/>
      </c>
      <c r="L42" s="295"/>
      <c r="M42" s="2">
        <f>IF($B42=2,$G42,0)</f>
        <v>0</v>
      </c>
      <c r="N42" s="2">
        <f>IF($B42=3,$G42,0)</f>
        <v>0</v>
      </c>
      <c r="O42" s="2">
        <f>IF($B42=4,$G42,0)</f>
        <v>0</v>
      </c>
      <c r="P42" s="2">
        <f>IF($B42=5,$G42,0)</f>
        <v>0</v>
      </c>
      <c r="Q42" s="2">
        <f>IF($B42=6,$G42,0)</f>
        <v>0</v>
      </c>
      <c r="R42" s="2">
        <f>IF($B42=7,$G42,0)</f>
        <v>0</v>
      </c>
      <c r="S42" s="2">
        <f>IF($B42=8,$G42,0)</f>
        <v>0</v>
      </c>
      <c r="T42" s="2">
        <f>IF($B42=9,$G42,0)</f>
        <v>0</v>
      </c>
      <c r="W42" s="2">
        <f>IF($B42=2,$H42,0)</f>
        <v>0</v>
      </c>
      <c r="X42" s="1">
        <f>IF($B42=3,$H42,0)</f>
        <v>0</v>
      </c>
      <c r="Y42" s="1">
        <f>IF($B42=4,$H42,0)</f>
        <v>0</v>
      </c>
      <c r="Z42" s="1">
        <f>IF($B42=5,$H42,0)</f>
        <v>0</v>
      </c>
      <c r="AA42" s="1">
        <f>IF($B42=6,$H42,0)</f>
        <v>0</v>
      </c>
      <c r="AB42" s="1">
        <f>IF($B42=7,$H42,0)</f>
        <v>0</v>
      </c>
      <c r="AC42" s="1">
        <f>IF($B42=8,$H42,0)</f>
        <v>0</v>
      </c>
      <c r="AD42" s="1">
        <f>IF($B42=9,$H42,0)</f>
        <v>0</v>
      </c>
    </row>
    <row r="43" spans="1:30" ht="17.100000000000001" customHeight="1" x14ac:dyDescent="0.2">
      <c r="A43" s="132"/>
      <c r="B43" s="104">
        <v>1</v>
      </c>
      <c r="C43" s="134"/>
      <c r="D43" s="134"/>
      <c r="E43" s="135"/>
      <c r="F43" s="136"/>
      <c r="G43" s="91" t="str">
        <f t="shared" ref="G43:G49" si="37">IF(AND(B43&gt;1,E43&gt;0),((C43/2)^2*PI()*D43*E43)/2000,"")</f>
        <v/>
      </c>
      <c r="H43" s="92" t="str">
        <f t="shared" ref="H43:H49" si="38">IF(AND(F43&gt;0,B43&gt;1),((C43/2)^2*PI()*D43*(E43/F43))/2000,"")</f>
        <v/>
      </c>
      <c r="L43" s="295"/>
      <c r="M43" s="2">
        <f t="shared" ref="M43:M49" si="39">IF($B43=2,$G43,0)</f>
        <v>0</v>
      </c>
      <c r="N43" s="2">
        <f t="shared" ref="N43:N49" si="40">IF($B43=3,$G43,0)</f>
        <v>0</v>
      </c>
      <c r="O43" s="2">
        <f t="shared" ref="O43:O49" si="41">IF($B43=4,$G43,0)</f>
        <v>0</v>
      </c>
      <c r="P43" s="2">
        <f t="shared" ref="P43:P49" si="42">IF($B43=5,$G43,0)</f>
        <v>0</v>
      </c>
      <c r="Q43" s="2">
        <f t="shared" ref="Q43:Q49" si="43">IF($B43=6,$G43,0)</f>
        <v>0</v>
      </c>
      <c r="R43" s="2">
        <f t="shared" ref="R43:R49" si="44">IF($B43=7,$G43,0)</f>
        <v>0</v>
      </c>
      <c r="S43" s="2">
        <f t="shared" ref="S43:S49" si="45">IF($B43=8,$G43,0)</f>
        <v>0</v>
      </c>
      <c r="T43" s="2">
        <f t="shared" ref="T43:T49" si="46">IF($B43=9,$G43,0)</f>
        <v>0</v>
      </c>
      <c r="W43" s="2">
        <f t="shared" ref="W43:W49" si="47">IF($B43=2,$H43,0)</f>
        <v>0</v>
      </c>
      <c r="X43" s="1">
        <f t="shared" ref="X43:X49" si="48">IF($B43=3,$H43,0)</f>
        <v>0</v>
      </c>
      <c r="Y43" s="1">
        <f t="shared" ref="Y43:Y49" si="49">IF($B43=4,$H43,0)</f>
        <v>0</v>
      </c>
      <c r="Z43" s="1">
        <f t="shared" ref="Z43:Z49" si="50">IF($B43=5,$H43,0)</f>
        <v>0</v>
      </c>
      <c r="AA43" s="1">
        <f t="shared" ref="AA43:AA49" si="51">IF($B43=6,$H43,0)</f>
        <v>0</v>
      </c>
      <c r="AB43" s="1">
        <f t="shared" ref="AB43:AB49" si="52">IF($B43=7,$H43,0)</f>
        <v>0</v>
      </c>
      <c r="AC43" s="1">
        <f t="shared" ref="AC43:AC49" si="53">IF($B43=8,$H43,0)</f>
        <v>0</v>
      </c>
      <c r="AD43" s="1">
        <f t="shared" ref="AD43:AD49" si="54">IF($B43=9,$H43,0)</f>
        <v>0</v>
      </c>
    </row>
    <row r="44" spans="1:30" ht="17.100000000000001" customHeight="1" x14ac:dyDescent="0.2">
      <c r="A44" s="132"/>
      <c r="B44" s="104">
        <v>1</v>
      </c>
      <c r="C44" s="134"/>
      <c r="D44" s="134"/>
      <c r="E44" s="135"/>
      <c r="F44" s="136"/>
      <c r="G44" s="91" t="str">
        <f t="shared" si="37"/>
        <v/>
      </c>
      <c r="H44" s="92" t="str">
        <f t="shared" si="38"/>
        <v/>
      </c>
      <c r="L44" s="295"/>
      <c r="M44" s="2">
        <f t="shared" si="39"/>
        <v>0</v>
      </c>
      <c r="N44" s="2">
        <f t="shared" si="40"/>
        <v>0</v>
      </c>
      <c r="O44" s="2">
        <f t="shared" si="41"/>
        <v>0</v>
      </c>
      <c r="P44" s="2">
        <f t="shared" si="42"/>
        <v>0</v>
      </c>
      <c r="Q44" s="2">
        <f t="shared" si="43"/>
        <v>0</v>
      </c>
      <c r="R44" s="2">
        <f t="shared" si="44"/>
        <v>0</v>
      </c>
      <c r="S44" s="2">
        <f t="shared" si="45"/>
        <v>0</v>
      </c>
      <c r="T44" s="2">
        <f t="shared" si="46"/>
        <v>0</v>
      </c>
      <c r="W44" s="2">
        <f t="shared" si="47"/>
        <v>0</v>
      </c>
      <c r="X44" s="1">
        <f t="shared" si="48"/>
        <v>0</v>
      </c>
      <c r="Y44" s="1">
        <f t="shared" si="49"/>
        <v>0</v>
      </c>
      <c r="Z44" s="1">
        <f t="shared" si="50"/>
        <v>0</v>
      </c>
      <c r="AA44" s="1">
        <f t="shared" si="51"/>
        <v>0</v>
      </c>
      <c r="AB44" s="1">
        <f t="shared" si="52"/>
        <v>0</v>
      </c>
      <c r="AC44" s="1">
        <f t="shared" si="53"/>
        <v>0</v>
      </c>
      <c r="AD44" s="1">
        <f t="shared" si="54"/>
        <v>0</v>
      </c>
    </row>
    <row r="45" spans="1:30" ht="17.100000000000001" customHeight="1" x14ac:dyDescent="0.2">
      <c r="A45" s="132"/>
      <c r="B45" s="104">
        <v>1</v>
      </c>
      <c r="C45" s="134"/>
      <c r="D45" s="134"/>
      <c r="E45" s="135"/>
      <c r="F45" s="136"/>
      <c r="G45" s="91" t="str">
        <f t="shared" si="37"/>
        <v/>
      </c>
      <c r="H45" s="92" t="str">
        <f t="shared" si="38"/>
        <v/>
      </c>
      <c r="L45" s="295"/>
      <c r="M45" s="2">
        <f t="shared" si="39"/>
        <v>0</v>
      </c>
      <c r="N45" s="2">
        <f t="shared" si="40"/>
        <v>0</v>
      </c>
      <c r="O45" s="2">
        <f t="shared" si="41"/>
        <v>0</v>
      </c>
      <c r="P45" s="2">
        <f t="shared" si="42"/>
        <v>0</v>
      </c>
      <c r="Q45" s="2">
        <f t="shared" si="43"/>
        <v>0</v>
      </c>
      <c r="R45" s="2">
        <f t="shared" si="44"/>
        <v>0</v>
      </c>
      <c r="S45" s="2">
        <f t="shared" si="45"/>
        <v>0</v>
      </c>
      <c r="T45" s="2">
        <f t="shared" si="46"/>
        <v>0</v>
      </c>
      <c r="W45" s="2">
        <f t="shared" si="47"/>
        <v>0</v>
      </c>
      <c r="X45" s="1">
        <f t="shared" si="48"/>
        <v>0</v>
      </c>
      <c r="Y45" s="1">
        <f t="shared" si="49"/>
        <v>0</v>
      </c>
      <c r="Z45" s="1">
        <f t="shared" si="50"/>
        <v>0</v>
      </c>
      <c r="AA45" s="1">
        <f t="shared" si="51"/>
        <v>0</v>
      </c>
      <c r="AB45" s="1">
        <f t="shared" si="52"/>
        <v>0</v>
      </c>
      <c r="AC45" s="1">
        <f t="shared" si="53"/>
        <v>0</v>
      </c>
      <c r="AD45" s="1">
        <f t="shared" si="54"/>
        <v>0</v>
      </c>
    </row>
    <row r="46" spans="1:30" ht="17.100000000000001" customHeight="1" x14ac:dyDescent="0.2">
      <c r="A46" s="132"/>
      <c r="B46" s="104">
        <v>1</v>
      </c>
      <c r="C46" s="134"/>
      <c r="D46" s="134"/>
      <c r="E46" s="135"/>
      <c r="F46" s="136"/>
      <c r="G46" s="91" t="str">
        <f t="shared" si="37"/>
        <v/>
      </c>
      <c r="H46" s="92" t="str">
        <f t="shared" si="38"/>
        <v/>
      </c>
      <c r="L46" s="295"/>
      <c r="M46" s="2">
        <f t="shared" si="39"/>
        <v>0</v>
      </c>
      <c r="N46" s="2">
        <f t="shared" si="40"/>
        <v>0</v>
      </c>
      <c r="O46" s="2">
        <f t="shared" si="41"/>
        <v>0</v>
      </c>
      <c r="P46" s="2">
        <f t="shared" si="42"/>
        <v>0</v>
      </c>
      <c r="Q46" s="2">
        <f t="shared" si="43"/>
        <v>0</v>
      </c>
      <c r="R46" s="2">
        <f t="shared" si="44"/>
        <v>0</v>
      </c>
      <c r="S46" s="2">
        <f t="shared" si="45"/>
        <v>0</v>
      </c>
      <c r="T46" s="2">
        <f t="shared" si="46"/>
        <v>0</v>
      </c>
      <c r="W46" s="2">
        <f t="shared" si="47"/>
        <v>0</v>
      </c>
      <c r="X46" s="1">
        <f t="shared" si="48"/>
        <v>0</v>
      </c>
      <c r="Y46" s="1">
        <f t="shared" si="49"/>
        <v>0</v>
      </c>
      <c r="Z46" s="1">
        <f t="shared" si="50"/>
        <v>0</v>
      </c>
      <c r="AA46" s="1">
        <f t="shared" si="51"/>
        <v>0</v>
      </c>
      <c r="AB46" s="1">
        <f t="shared" si="52"/>
        <v>0</v>
      </c>
      <c r="AC46" s="1">
        <f t="shared" si="53"/>
        <v>0</v>
      </c>
      <c r="AD46" s="1">
        <f t="shared" si="54"/>
        <v>0</v>
      </c>
    </row>
    <row r="47" spans="1:30" ht="17.100000000000001" customHeight="1" x14ac:dyDescent="0.2">
      <c r="A47" s="132"/>
      <c r="B47" s="104">
        <v>1</v>
      </c>
      <c r="C47" s="134"/>
      <c r="D47" s="134"/>
      <c r="E47" s="135"/>
      <c r="F47" s="136"/>
      <c r="G47" s="91" t="str">
        <f t="shared" si="37"/>
        <v/>
      </c>
      <c r="H47" s="92" t="str">
        <f t="shared" si="38"/>
        <v/>
      </c>
      <c r="L47" s="295"/>
      <c r="M47" s="2">
        <f t="shared" si="39"/>
        <v>0</v>
      </c>
      <c r="N47" s="2">
        <f t="shared" si="40"/>
        <v>0</v>
      </c>
      <c r="O47" s="2">
        <f t="shared" si="41"/>
        <v>0</v>
      </c>
      <c r="P47" s="2">
        <f t="shared" si="42"/>
        <v>0</v>
      </c>
      <c r="Q47" s="2">
        <f t="shared" si="43"/>
        <v>0</v>
      </c>
      <c r="R47" s="2">
        <f t="shared" si="44"/>
        <v>0</v>
      </c>
      <c r="S47" s="2">
        <f t="shared" si="45"/>
        <v>0</v>
      </c>
      <c r="T47" s="2">
        <f t="shared" si="46"/>
        <v>0</v>
      </c>
      <c r="W47" s="2">
        <f t="shared" si="47"/>
        <v>0</v>
      </c>
      <c r="X47" s="1">
        <f t="shared" si="48"/>
        <v>0</v>
      </c>
      <c r="Y47" s="1">
        <f t="shared" si="49"/>
        <v>0</v>
      </c>
      <c r="Z47" s="1">
        <f t="shared" si="50"/>
        <v>0</v>
      </c>
      <c r="AA47" s="1">
        <f t="shared" si="51"/>
        <v>0</v>
      </c>
      <c r="AB47" s="1">
        <f t="shared" si="52"/>
        <v>0</v>
      </c>
      <c r="AC47" s="1">
        <f t="shared" si="53"/>
        <v>0</v>
      </c>
      <c r="AD47" s="1">
        <f t="shared" si="54"/>
        <v>0</v>
      </c>
    </row>
    <row r="48" spans="1:30" ht="17.100000000000001" customHeight="1" x14ac:dyDescent="0.2">
      <c r="A48" s="132"/>
      <c r="B48" s="104">
        <v>1</v>
      </c>
      <c r="C48" s="134"/>
      <c r="D48" s="134"/>
      <c r="E48" s="135"/>
      <c r="F48" s="136"/>
      <c r="G48" s="91" t="str">
        <f t="shared" si="37"/>
        <v/>
      </c>
      <c r="H48" s="92" t="str">
        <f t="shared" si="38"/>
        <v/>
      </c>
      <c r="L48" s="295"/>
      <c r="M48" s="2">
        <f t="shared" si="39"/>
        <v>0</v>
      </c>
      <c r="N48" s="2">
        <f t="shared" si="40"/>
        <v>0</v>
      </c>
      <c r="O48" s="2">
        <f t="shared" si="41"/>
        <v>0</v>
      </c>
      <c r="P48" s="2">
        <f t="shared" si="42"/>
        <v>0</v>
      </c>
      <c r="Q48" s="2">
        <f t="shared" si="43"/>
        <v>0</v>
      </c>
      <c r="R48" s="2">
        <f t="shared" si="44"/>
        <v>0</v>
      </c>
      <c r="S48" s="2">
        <f t="shared" si="45"/>
        <v>0</v>
      </c>
      <c r="T48" s="2">
        <f t="shared" si="46"/>
        <v>0</v>
      </c>
      <c r="W48" s="2">
        <f t="shared" si="47"/>
        <v>0</v>
      </c>
      <c r="X48" s="1">
        <f t="shared" si="48"/>
        <v>0</v>
      </c>
      <c r="Y48" s="1">
        <f t="shared" si="49"/>
        <v>0</v>
      </c>
      <c r="Z48" s="1">
        <f t="shared" si="50"/>
        <v>0</v>
      </c>
      <c r="AA48" s="1">
        <f t="shared" si="51"/>
        <v>0</v>
      </c>
      <c r="AB48" s="1">
        <f t="shared" si="52"/>
        <v>0</v>
      </c>
      <c r="AC48" s="1">
        <f t="shared" si="53"/>
        <v>0</v>
      </c>
      <c r="AD48" s="1">
        <f t="shared" si="54"/>
        <v>0</v>
      </c>
    </row>
    <row r="49" spans="1:30" ht="17.100000000000001" customHeight="1" thickBot="1" x14ac:dyDescent="0.25">
      <c r="A49" s="133"/>
      <c r="B49" s="105">
        <v>1</v>
      </c>
      <c r="C49" s="137"/>
      <c r="D49" s="137"/>
      <c r="E49" s="138"/>
      <c r="F49" s="139"/>
      <c r="G49" s="93" t="str">
        <f t="shared" si="37"/>
        <v/>
      </c>
      <c r="H49" s="94" t="str">
        <f t="shared" si="38"/>
        <v/>
      </c>
      <c r="L49" s="295"/>
      <c r="M49" s="2">
        <f t="shared" si="39"/>
        <v>0</v>
      </c>
      <c r="N49" s="2">
        <f t="shared" si="40"/>
        <v>0</v>
      </c>
      <c r="O49" s="2">
        <f t="shared" si="41"/>
        <v>0</v>
      </c>
      <c r="P49" s="2">
        <f t="shared" si="42"/>
        <v>0</v>
      </c>
      <c r="Q49" s="2">
        <f t="shared" si="43"/>
        <v>0</v>
      </c>
      <c r="R49" s="2">
        <f t="shared" si="44"/>
        <v>0</v>
      </c>
      <c r="S49" s="2">
        <f t="shared" si="45"/>
        <v>0</v>
      </c>
      <c r="T49" s="2">
        <f t="shared" si="46"/>
        <v>0</v>
      </c>
      <c r="W49" s="2">
        <f t="shared" si="47"/>
        <v>0</v>
      </c>
      <c r="X49" s="1">
        <f t="shared" si="48"/>
        <v>0</v>
      </c>
      <c r="Y49" s="1">
        <f t="shared" si="49"/>
        <v>0</v>
      </c>
      <c r="Z49" s="1">
        <f t="shared" si="50"/>
        <v>0</v>
      </c>
      <c r="AA49" s="1">
        <f t="shared" si="51"/>
        <v>0</v>
      </c>
      <c r="AB49" s="1">
        <f t="shared" si="52"/>
        <v>0</v>
      </c>
      <c r="AC49" s="1">
        <f t="shared" si="53"/>
        <v>0</v>
      </c>
      <c r="AD49" s="1">
        <f t="shared" si="54"/>
        <v>0</v>
      </c>
    </row>
    <row r="50" spans="1:30" ht="13.5" thickBot="1" x14ac:dyDescent="0.25">
      <c r="B50" s="2"/>
      <c r="L50" s="295"/>
      <c r="W50" s="2"/>
    </row>
    <row r="51" spans="1:30" x14ac:dyDescent="0.2">
      <c r="A51" s="84" t="s">
        <v>68</v>
      </c>
      <c r="B51" s="100"/>
      <c r="C51" s="100"/>
      <c r="D51" s="84"/>
      <c r="E51" s="84"/>
      <c r="F51" s="84"/>
      <c r="G51" s="85"/>
      <c r="L51" s="295"/>
      <c r="W51" s="2"/>
    </row>
    <row r="52" spans="1:30" x14ac:dyDescent="0.2">
      <c r="A52" s="87"/>
      <c r="B52" s="95"/>
      <c r="C52" s="95"/>
      <c r="D52" s="87"/>
      <c r="E52" s="87"/>
      <c r="F52" s="87"/>
      <c r="G52" s="88"/>
      <c r="L52" s="295"/>
      <c r="W52" s="2"/>
    </row>
    <row r="53" spans="1:30" x14ac:dyDescent="0.2">
      <c r="A53" s="87" t="s">
        <v>72</v>
      </c>
      <c r="B53" s="87" t="s">
        <v>63</v>
      </c>
      <c r="C53" s="95" t="s">
        <v>73</v>
      </c>
      <c r="D53" s="101" t="s">
        <v>74</v>
      </c>
      <c r="E53" s="95" t="s">
        <v>47</v>
      </c>
      <c r="F53" s="89" t="s">
        <v>48</v>
      </c>
      <c r="G53" s="90" t="s">
        <v>49</v>
      </c>
      <c r="L53" s="295"/>
      <c r="W53" s="2"/>
    </row>
    <row r="54" spans="1:30" ht="17.100000000000001" customHeight="1" x14ac:dyDescent="0.2">
      <c r="A54" s="132"/>
      <c r="B54" s="104">
        <v>1</v>
      </c>
      <c r="C54" s="140"/>
      <c r="D54" s="134"/>
      <c r="E54" s="136"/>
      <c r="F54" s="102" t="str">
        <f>IF(AND(B54&gt;1,D54&gt;0),C54*D54*E54/2000,"")</f>
        <v/>
      </c>
      <c r="G54" s="92" t="str">
        <f>IF(AND(B54&gt;1,E54&gt;0),D54*C54/2000,"")</f>
        <v/>
      </c>
      <c r="L54" s="295"/>
      <c r="M54" s="2">
        <f>IF($B54=2,$F54,0)</f>
        <v>0</v>
      </c>
      <c r="N54" s="2">
        <f>IF($B54=3,$F54,0)</f>
        <v>0</v>
      </c>
      <c r="O54" s="2">
        <f>IF($B54=4,$F54,0)</f>
        <v>0</v>
      </c>
      <c r="P54" s="2">
        <f>IF($B54=5,$F54,0)</f>
        <v>0</v>
      </c>
      <c r="Q54" s="2">
        <f>IF($B54=6,$F54,0)</f>
        <v>0</v>
      </c>
      <c r="R54" s="2">
        <f>IF($B54=7,$F54,0)</f>
        <v>0</v>
      </c>
      <c r="S54" s="2">
        <f>IF($B54=8,$F54,0)</f>
        <v>0</v>
      </c>
      <c r="T54" s="2">
        <f>IF($B54=9,$F54,0)</f>
        <v>0</v>
      </c>
      <c r="W54" s="2">
        <f>IF($B54=2,$G54,0)</f>
        <v>0</v>
      </c>
      <c r="X54" s="1">
        <f>IF($B54=3,$G54,0)</f>
        <v>0</v>
      </c>
      <c r="Y54" s="1">
        <f>IF($B54=4,$G54,0)</f>
        <v>0</v>
      </c>
      <c r="Z54" s="1">
        <f>IF($B54=5,$G54,0)</f>
        <v>0</v>
      </c>
      <c r="AA54" s="1">
        <f>IF($B54=6,$G54,0)</f>
        <v>0</v>
      </c>
      <c r="AB54" s="1">
        <f>IF($B54=7,$G54,0)</f>
        <v>0</v>
      </c>
      <c r="AC54" s="1">
        <f>IF($B54=8,$G54,0)</f>
        <v>0</v>
      </c>
      <c r="AD54" s="1">
        <f>IF($B54=9,$G54,0)</f>
        <v>0</v>
      </c>
    </row>
    <row r="55" spans="1:30" ht="17.100000000000001" customHeight="1" x14ac:dyDescent="0.2">
      <c r="A55" s="132"/>
      <c r="B55" s="104">
        <v>1</v>
      </c>
      <c r="C55" s="140"/>
      <c r="D55" s="134"/>
      <c r="E55" s="136"/>
      <c r="F55" s="102" t="str">
        <f t="shared" ref="F55:F61" si="55">IF(AND(B55&gt;1,D55&gt;0),C55*D55*E55/2000,"")</f>
        <v/>
      </c>
      <c r="G55" s="92" t="str">
        <f t="shared" ref="G55:G61" si="56">IF(AND(B55&gt;1,E55&gt;0),D55*C55/2000,"")</f>
        <v/>
      </c>
      <c r="L55" s="295"/>
      <c r="M55" s="2">
        <f t="shared" ref="M55:M61" si="57">IF($B55=2,$F55,0)</f>
        <v>0</v>
      </c>
      <c r="N55" s="2">
        <f t="shared" ref="N55:N61" si="58">IF($B55=3,$F55,0)</f>
        <v>0</v>
      </c>
      <c r="O55" s="2">
        <f t="shared" ref="O55:O61" si="59">IF($B55=4,$F55,0)</f>
        <v>0</v>
      </c>
      <c r="P55" s="2">
        <f t="shared" ref="P55:P61" si="60">IF($B55=5,$F55,0)</f>
        <v>0</v>
      </c>
      <c r="Q55" s="2">
        <f t="shared" ref="Q55:Q61" si="61">IF($B55=6,$F55,0)</f>
        <v>0</v>
      </c>
      <c r="R55" s="2">
        <f t="shared" ref="R55:R61" si="62">IF($B55=7,$F55,0)</f>
        <v>0</v>
      </c>
      <c r="S55" s="2">
        <f t="shared" ref="S55:S61" si="63">IF($B55=8,$F55,0)</f>
        <v>0</v>
      </c>
      <c r="T55" s="2">
        <f t="shared" ref="T55:T61" si="64">IF($B55=9,$F55,0)</f>
        <v>0</v>
      </c>
      <c r="W55" s="2">
        <f t="shared" ref="W55:W61" si="65">IF($B55=2,$G55,0)</f>
        <v>0</v>
      </c>
      <c r="X55" s="1">
        <f t="shared" ref="X55:X61" si="66">IF($B55=3,$G55,0)</f>
        <v>0</v>
      </c>
      <c r="Y55" s="1">
        <f t="shared" ref="Y55:Y61" si="67">IF($B55=4,$G55,0)</f>
        <v>0</v>
      </c>
      <c r="Z55" s="1">
        <f t="shared" ref="Z55:Z61" si="68">IF($B55=5,$G55,0)</f>
        <v>0</v>
      </c>
      <c r="AA55" s="1">
        <f t="shared" ref="AA55:AA61" si="69">IF($B55=6,$G55,0)</f>
        <v>0</v>
      </c>
      <c r="AB55" s="1">
        <f t="shared" ref="AB55:AB61" si="70">IF($B55=7,$G55,0)</f>
        <v>0</v>
      </c>
      <c r="AC55" s="1">
        <f t="shared" ref="AC55:AC61" si="71">IF($B55=8,$G55,0)</f>
        <v>0</v>
      </c>
      <c r="AD55" s="1">
        <f t="shared" ref="AD55:AD61" si="72">IF($B55=9,$G55,0)</f>
        <v>0</v>
      </c>
    </row>
    <row r="56" spans="1:30" ht="17.100000000000001" customHeight="1" x14ac:dyDescent="0.2">
      <c r="A56" s="132"/>
      <c r="B56" s="104">
        <v>1</v>
      </c>
      <c r="C56" s="140"/>
      <c r="D56" s="134"/>
      <c r="E56" s="136"/>
      <c r="F56" s="102" t="str">
        <f t="shared" si="55"/>
        <v/>
      </c>
      <c r="G56" s="92" t="str">
        <f t="shared" si="56"/>
        <v/>
      </c>
      <c r="L56" s="295"/>
      <c r="M56" s="2">
        <f t="shared" si="57"/>
        <v>0</v>
      </c>
      <c r="N56" s="2">
        <f t="shared" si="58"/>
        <v>0</v>
      </c>
      <c r="O56" s="2">
        <f t="shared" si="59"/>
        <v>0</v>
      </c>
      <c r="P56" s="2">
        <f t="shared" si="60"/>
        <v>0</v>
      </c>
      <c r="Q56" s="2">
        <f t="shared" si="61"/>
        <v>0</v>
      </c>
      <c r="R56" s="2">
        <f t="shared" si="62"/>
        <v>0</v>
      </c>
      <c r="S56" s="2">
        <f t="shared" si="63"/>
        <v>0</v>
      </c>
      <c r="T56" s="2">
        <f t="shared" si="64"/>
        <v>0</v>
      </c>
      <c r="W56" s="2">
        <f t="shared" si="65"/>
        <v>0</v>
      </c>
      <c r="X56" s="1">
        <f t="shared" si="66"/>
        <v>0</v>
      </c>
      <c r="Y56" s="1">
        <f t="shared" si="67"/>
        <v>0</v>
      </c>
      <c r="Z56" s="1">
        <f t="shared" si="68"/>
        <v>0</v>
      </c>
      <c r="AA56" s="1">
        <f t="shared" si="69"/>
        <v>0</v>
      </c>
      <c r="AB56" s="1">
        <f t="shared" si="70"/>
        <v>0</v>
      </c>
      <c r="AC56" s="1">
        <f t="shared" si="71"/>
        <v>0</v>
      </c>
      <c r="AD56" s="1">
        <f t="shared" si="72"/>
        <v>0</v>
      </c>
    </row>
    <row r="57" spans="1:30" ht="17.100000000000001" customHeight="1" x14ac:dyDescent="0.2">
      <c r="A57" s="132"/>
      <c r="B57" s="104">
        <v>1</v>
      </c>
      <c r="C57" s="140"/>
      <c r="D57" s="134"/>
      <c r="E57" s="136"/>
      <c r="F57" s="102" t="str">
        <f t="shared" si="55"/>
        <v/>
      </c>
      <c r="G57" s="92" t="str">
        <f t="shared" si="56"/>
        <v/>
      </c>
      <c r="L57" s="295"/>
      <c r="M57" s="2">
        <f t="shared" si="57"/>
        <v>0</v>
      </c>
      <c r="N57" s="2">
        <f t="shared" si="58"/>
        <v>0</v>
      </c>
      <c r="O57" s="2">
        <f t="shared" si="59"/>
        <v>0</v>
      </c>
      <c r="P57" s="2">
        <f t="shared" si="60"/>
        <v>0</v>
      </c>
      <c r="Q57" s="2">
        <f t="shared" si="61"/>
        <v>0</v>
      </c>
      <c r="R57" s="2">
        <f t="shared" si="62"/>
        <v>0</v>
      </c>
      <c r="S57" s="2">
        <f t="shared" si="63"/>
        <v>0</v>
      </c>
      <c r="T57" s="2">
        <f t="shared" si="64"/>
        <v>0</v>
      </c>
      <c r="W57" s="2">
        <f t="shared" si="65"/>
        <v>0</v>
      </c>
      <c r="X57" s="1">
        <f t="shared" si="66"/>
        <v>0</v>
      </c>
      <c r="Y57" s="1">
        <f t="shared" si="67"/>
        <v>0</v>
      </c>
      <c r="Z57" s="1">
        <f t="shared" si="68"/>
        <v>0</v>
      </c>
      <c r="AA57" s="1">
        <f t="shared" si="69"/>
        <v>0</v>
      </c>
      <c r="AB57" s="1">
        <f t="shared" si="70"/>
        <v>0</v>
      </c>
      <c r="AC57" s="1">
        <f t="shared" si="71"/>
        <v>0</v>
      </c>
      <c r="AD57" s="1">
        <f t="shared" si="72"/>
        <v>0</v>
      </c>
    </row>
    <row r="58" spans="1:30" ht="17.100000000000001" customHeight="1" x14ac:dyDescent="0.2">
      <c r="A58" s="132"/>
      <c r="B58" s="104">
        <v>1</v>
      </c>
      <c r="C58" s="140"/>
      <c r="D58" s="134"/>
      <c r="E58" s="136"/>
      <c r="F58" s="102" t="str">
        <f t="shared" si="55"/>
        <v/>
      </c>
      <c r="G58" s="92" t="str">
        <f t="shared" si="56"/>
        <v/>
      </c>
      <c r="L58" s="295"/>
      <c r="M58" s="2">
        <f t="shared" si="57"/>
        <v>0</v>
      </c>
      <c r="N58" s="2">
        <f t="shared" si="58"/>
        <v>0</v>
      </c>
      <c r="O58" s="2">
        <f t="shared" si="59"/>
        <v>0</v>
      </c>
      <c r="P58" s="2">
        <f t="shared" si="60"/>
        <v>0</v>
      </c>
      <c r="Q58" s="2">
        <f t="shared" si="61"/>
        <v>0</v>
      </c>
      <c r="R58" s="2">
        <f t="shared" si="62"/>
        <v>0</v>
      </c>
      <c r="S58" s="2">
        <f t="shared" si="63"/>
        <v>0</v>
      </c>
      <c r="T58" s="2">
        <f t="shared" si="64"/>
        <v>0</v>
      </c>
      <c r="W58" s="2">
        <f t="shared" si="65"/>
        <v>0</v>
      </c>
      <c r="X58" s="1">
        <f t="shared" si="66"/>
        <v>0</v>
      </c>
      <c r="Y58" s="1">
        <f t="shared" si="67"/>
        <v>0</v>
      </c>
      <c r="Z58" s="1">
        <f t="shared" si="68"/>
        <v>0</v>
      </c>
      <c r="AA58" s="1">
        <f t="shared" si="69"/>
        <v>0</v>
      </c>
      <c r="AB58" s="1">
        <f t="shared" si="70"/>
        <v>0</v>
      </c>
      <c r="AC58" s="1">
        <f t="shared" si="71"/>
        <v>0</v>
      </c>
      <c r="AD58" s="1">
        <f t="shared" si="72"/>
        <v>0</v>
      </c>
    </row>
    <row r="59" spans="1:30" ht="17.100000000000001" customHeight="1" x14ac:dyDescent="0.2">
      <c r="A59" s="132"/>
      <c r="B59" s="104">
        <v>1</v>
      </c>
      <c r="C59" s="140"/>
      <c r="D59" s="134"/>
      <c r="E59" s="136"/>
      <c r="F59" s="102" t="str">
        <f t="shared" si="55"/>
        <v/>
      </c>
      <c r="G59" s="92" t="str">
        <f t="shared" si="56"/>
        <v/>
      </c>
      <c r="L59" s="295"/>
      <c r="M59" s="2">
        <f t="shared" si="57"/>
        <v>0</v>
      </c>
      <c r="N59" s="2">
        <f t="shared" si="58"/>
        <v>0</v>
      </c>
      <c r="O59" s="2">
        <f t="shared" si="59"/>
        <v>0</v>
      </c>
      <c r="P59" s="2">
        <f t="shared" si="60"/>
        <v>0</v>
      </c>
      <c r="Q59" s="2">
        <f t="shared" si="61"/>
        <v>0</v>
      </c>
      <c r="R59" s="2">
        <f t="shared" si="62"/>
        <v>0</v>
      </c>
      <c r="S59" s="2">
        <f t="shared" si="63"/>
        <v>0</v>
      </c>
      <c r="T59" s="2">
        <f t="shared" si="64"/>
        <v>0</v>
      </c>
      <c r="W59" s="2">
        <f t="shared" si="65"/>
        <v>0</v>
      </c>
      <c r="X59" s="1">
        <f t="shared" si="66"/>
        <v>0</v>
      </c>
      <c r="Y59" s="1">
        <f t="shared" si="67"/>
        <v>0</v>
      </c>
      <c r="Z59" s="1">
        <f t="shared" si="68"/>
        <v>0</v>
      </c>
      <c r="AA59" s="1">
        <f t="shared" si="69"/>
        <v>0</v>
      </c>
      <c r="AB59" s="1">
        <f t="shared" si="70"/>
        <v>0</v>
      </c>
      <c r="AC59" s="1">
        <f t="shared" si="71"/>
        <v>0</v>
      </c>
      <c r="AD59" s="1">
        <f t="shared" si="72"/>
        <v>0</v>
      </c>
    </row>
    <row r="60" spans="1:30" ht="17.100000000000001" customHeight="1" x14ac:dyDescent="0.2">
      <c r="A60" s="132"/>
      <c r="B60" s="104">
        <v>1</v>
      </c>
      <c r="C60" s="140"/>
      <c r="D60" s="134"/>
      <c r="E60" s="136"/>
      <c r="F60" s="102" t="str">
        <f t="shared" si="55"/>
        <v/>
      </c>
      <c r="G60" s="92" t="str">
        <f t="shared" si="56"/>
        <v/>
      </c>
      <c r="L60" s="295"/>
      <c r="M60" s="2">
        <f t="shared" si="57"/>
        <v>0</v>
      </c>
      <c r="N60" s="2">
        <f t="shared" si="58"/>
        <v>0</v>
      </c>
      <c r="O60" s="2">
        <f t="shared" si="59"/>
        <v>0</v>
      </c>
      <c r="P60" s="2">
        <f t="shared" si="60"/>
        <v>0</v>
      </c>
      <c r="Q60" s="2">
        <f t="shared" si="61"/>
        <v>0</v>
      </c>
      <c r="R60" s="2">
        <f t="shared" si="62"/>
        <v>0</v>
      </c>
      <c r="S60" s="2">
        <f t="shared" si="63"/>
        <v>0</v>
      </c>
      <c r="T60" s="2">
        <f t="shared" si="64"/>
        <v>0</v>
      </c>
      <c r="W60" s="2">
        <f t="shared" si="65"/>
        <v>0</v>
      </c>
      <c r="X60" s="1">
        <f t="shared" si="66"/>
        <v>0</v>
      </c>
      <c r="Y60" s="1">
        <f t="shared" si="67"/>
        <v>0</v>
      </c>
      <c r="Z60" s="1">
        <f t="shared" si="68"/>
        <v>0</v>
      </c>
      <c r="AA60" s="1">
        <f t="shared" si="69"/>
        <v>0</v>
      </c>
      <c r="AB60" s="1">
        <f t="shared" si="70"/>
        <v>0</v>
      </c>
      <c r="AC60" s="1">
        <f t="shared" si="71"/>
        <v>0</v>
      </c>
      <c r="AD60" s="1">
        <f t="shared" si="72"/>
        <v>0</v>
      </c>
    </row>
    <row r="61" spans="1:30" ht="17.100000000000001" customHeight="1" thickBot="1" x14ac:dyDescent="0.25">
      <c r="A61" s="133"/>
      <c r="B61" s="105">
        <v>1</v>
      </c>
      <c r="C61" s="141"/>
      <c r="D61" s="137"/>
      <c r="E61" s="139"/>
      <c r="F61" s="103" t="str">
        <f t="shared" si="55"/>
        <v/>
      </c>
      <c r="G61" s="94" t="str">
        <f t="shared" si="56"/>
        <v/>
      </c>
      <c r="L61" s="295"/>
      <c r="M61" s="2">
        <f t="shared" si="57"/>
        <v>0</v>
      </c>
      <c r="N61" s="2">
        <f t="shared" si="58"/>
        <v>0</v>
      </c>
      <c r="O61" s="2">
        <f t="shared" si="59"/>
        <v>0</v>
      </c>
      <c r="P61" s="2">
        <f t="shared" si="60"/>
        <v>0</v>
      </c>
      <c r="Q61" s="2">
        <f t="shared" si="61"/>
        <v>0</v>
      </c>
      <c r="R61" s="2">
        <f t="shared" si="62"/>
        <v>0</v>
      </c>
      <c r="S61" s="2">
        <f t="shared" si="63"/>
        <v>0</v>
      </c>
      <c r="T61" s="2">
        <f t="shared" si="64"/>
        <v>0</v>
      </c>
      <c r="W61" s="2">
        <f t="shared" si="65"/>
        <v>0</v>
      </c>
      <c r="X61" s="1">
        <f t="shared" si="66"/>
        <v>0</v>
      </c>
      <c r="Y61" s="1">
        <f t="shared" si="67"/>
        <v>0</v>
      </c>
      <c r="Z61" s="1">
        <f t="shared" si="68"/>
        <v>0</v>
      </c>
      <c r="AA61" s="1">
        <f t="shared" si="69"/>
        <v>0</v>
      </c>
      <c r="AB61" s="1">
        <f t="shared" si="70"/>
        <v>0</v>
      </c>
      <c r="AC61" s="1">
        <f t="shared" si="71"/>
        <v>0</v>
      </c>
      <c r="AD61" s="1">
        <f t="shared" si="72"/>
        <v>0</v>
      </c>
    </row>
    <row r="62" spans="1:30" ht="13.5" thickBot="1" x14ac:dyDescent="0.25">
      <c r="B62" s="2"/>
      <c r="L62" s="295"/>
      <c r="W62" s="2"/>
    </row>
    <row r="63" spans="1:30" x14ac:dyDescent="0.2">
      <c r="A63" s="84" t="s">
        <v>105</v>
      </c>
      <c r="B63" s="100"/>
      <c r="C63" s="84"/>
      <c r="D63" s="84"/>
      <c r="E63" s="84"/>
      <c r="F63" s="84"/>
      <c r="G63" s="84"/>
      <c r="H63" s="84"/>
      <c r="I63" s="85"/>
      <c r="J63" s="1"/>
      <c r="K63" s="1"/>
      <c r="L63" s="1"/>
      <c r="M63" s="1"/>
      <c r="W63" s="2"/>
      <c r="X63" s="2"/>
      <c r="Y63" s="2"/>
      <c r="Z63" s="2"/>
    </row>
    <row r="64" spans="1:30" x14ac:dyDescent="0.2">
      <c r="A64" s="87"/>
      <c r="B64" s="95"/>
      <c r="C64" s="87"/>
      <c r="D64" s="87"/>
      <c r="E64" s="87"/>
      <c r="F64" s="87"/>
      <c r="G64" s="87"/>
      <c r="H64" s="87"/>
      <c r="I64" s="88"/>
      <c r="J64" s="1"/>
      <c r="K64" s="298"/>
      <c r="L64" s="1"/>
      <c r="M64" s="1"/>
      <c r="W64" s="2"/>
      <c r="X64" s="2"/>
      <c r="Y64" s="2"/>
      <c r="Z64" s="2"/>
    </row>
    <row r="65" spans="1:30" x14ac:dyDescent="0.2">
      <c r="A65" s="87" t="s">
        <v>43</v>
      </c>
      <c r="B65" s="87" t="s">
        <v>63</v>
      </c>
      <c r="C65" s="95" t="s">
        <v>103</v>
      </c>
      <c r="D65" s="95" t="s">
        <v>101</v>
      </c>
      <c r="E65" s="95" t="s">
        <v>102</v>
      </c>
      <c r="F65" s="95" t="s">
        <v>47</v>
      </c>
      <c r="G65" s="95" t="s">
        <v>100</v>
      </c>
      <c r="H65" s="89" t="s">
        <v>48</v>
      </c>
      <c r="I65" s="90" t="s">
        <v>49</v>
      </c>
      <c r="K65" s="298"/>
      <c r="L65" s="1"/>
      <c r="M65" s="1"/>
      <c r="W65" s="2"/>
      <c r="X65" s="2"/>
      <c r="Y65" s="2"/>
      <c r="Z65" s="2"/>
    </row>
    <row r="66" spans="1:30" ht="17.100000000000001" customHeight="1" x14ac:dyDescent="0.2">
      <c r="A66" s="132"/>
      <c r="B66" s="104">
        <v>1</v>
      </c>
      <c r="C66" s="143"/>
      <c r="D66" s="143"/>
      <c r="E66" s="144"/>
      <c r="F66" s="142"/>
      <c r="G66" s="130"/>
      <c r="H66" s="91" t="str">
        <f>IF(AND(B66&gt;1,E66&gt;0),SUM(E79:E84)/2000,"")</f>
        <v/>
      </c>
      <c r="I66" s="92" t="str">
        <f>IF(AND(B66&gt;1,F66&gt;0),H66/F66,"")</f>
        <v/>
      </c>
      <c r="K66" s="299">
        <v>1</v>
      </c>
      <c r="L66" s="148"/>
      <c r="M66" s="2">
        <f>IF($B66=2,$H66,0)</f>
        <v>0</v>
      </c>
      <c r="N66" s="2">
        <f>IF($B66=3,$H66,0)</f>
        <v>0</v>
      </c>
      <c r="O66" s="2">
        <f>IF($B66=4,$H66,0)</f>
        <v>0</v>
      </c>
      <c r="P66" s="2">
        <f>IF($B66=5,$H66,0)</f>
        <v>0</v>
      </c>
      <c r="Q66" s="2">
        <f>IF($B66=6,$H66,0)</f>
        <v>0</v>
      </c>
      <c r="R66" s="2">
        <f>IF($B66=7,$H66,0)</f>
        <v>0</v>
      </c>
      <c r="S66" s="2">
        <f>IF($B66=8,$H66,0)</f>
        <v>0</v>
      </c>
      <c r="T66" s="2">
        <f>IF($B66=9,$H66,0)</f>
        <v>0</v>
      </c>
      <c r="W66" s="2">
        <f>IF($B66=2,$I66,0)</f>
        <v>0</v>
      </c>
      <c r="X66" s="2">
        <f>IF($B66=3,$I66,0)</f>
        <v>0</v>
      </c>
      <c r="Y66" s="2">
        <f>IF($B66=4,$I66,0)</f>
        <v>0</v>
      </c>
      <c r="Z66" s="2">
        <f>IF($B66=5,$I66,0)</f>
        <v>0</v>
      </c>
      <c r="AA66" s="2">
        <f>IF($B66=6,$I66,0)</f>
        <v>0</v>
      </c>
      <c r="AB66" s="2">
        <f>IF($B66=7,$I66,0)</f>
        <v>0</v>
      </c>
      <c r="AC66" s="2">
        <f>IF($B66=8,$I66,0)</f>
        <v>0</v>
      </c>
      <c r="AD66" s="2">
        <f>IF($B66=9,$I66,0)</f>
        <v>0</v>
      </c>
    </row>
    <row r="67" spans="1:30" ht="17.100000000000001" customHeight="1" x14ac:dyDescent="0.2">
      <c r="A67" s="132"/>
      <c r="B67" s="104">
        <v>1</v>
      </c>
      <c r="C67" s="143"/>
      <c r="D67" s="143"/>
      <c r="E67" s="144"/>
      <c r="F67" s="142"/>
      <c r="G67" s="130"/>
      <c r="H67" s="91" t="str">
        <f>IF(AND(B67&gt;1,E67&gt;0),SUM(E91:E96)/2000,"")</f>
        <v/>
      </c>
      <c r="I67" s="92" t="str">
        <f t="shared" ref="I67:I73" si="73">IF(AND(B67&gt;1,F67&gt;0),H67/F67,"")</f>
        <v/>
      </c>
      <c r="K67" s="299">
        <v>1</v>
      </c>
      <c r="L67" s="148"/>
      <c r="M67" s="2">
        <f t="shared" ref="M67:M73" si="74">IF($B67=2,$H67,0)</f>
        <v>0</v>
      </c>
      <c r="N67" s="2">
        <f t="shared" ref="N67:N73" si="75">IF($B67=3,$H67,0)</f>
        <v>0</v>
      </c>
      <c r="O67" s="2">
        <f t="shared" ref="O67:O73" si="76">IF($B67=4,$H67,0)</f>
        <v>0</v>
      </c>
      <c r="P67" s="2">
        <f t="shared" ref="P67:P73" si="77">IF($B67=5,$H67,0)</f>
        <v>0</v>
      </c>
      <c r="Q67" s="2">
        <f t="shared" ref="Q67:Q73" si="78">IF($B67=6,$H67,0)</f>
        <v>0</v>
      </c>
      <c r="R67" s="2">
        <f t="shared" ref="R67:R73" si="79">IF($B67=7,$H67,0)</f>
        <v>0</v>
      </c>
      <c r="S67" s="2">
        <f t="shared" ref="S67:S73" si="80">IF($B67=8,$H67,0)</f>
        <v>0</v>
      </c>
      <c r="T67" s="2">
        <f t="shared" ref="T67:T73" si="81">IF($B67=9,$H67,0)</f>
        <v>0</v>
      </c>
      <c r="W67" s="2">
        <f t="shared" ref="W67:W135" si="82">IF($B67=2,$I67,0)</f>
        <v>0</v>
      </c>
      <c r="X67" s="2">
        <f t="shared" ref="X67:X73" si="83">IF($B67=3,$I67,0)</f>
        <v>0</v>
      </c>
      <c r="Y67" s="2">
        <f t="shared" ref="Y67:Y73" si="84">IF($B67=4,$I67,0)</f>
        <v>0</v>
      </c>
      <c r="Z67" s="2">
        <f t="shared" ref="Z67:Z73" si="85">IF($B67=5,$I67,0)</f>
        <v>0</v>
      </c>
      <c r="AA67" s="2">
        <f t="shared" ref="AA67:AA73" si="86">IF($B67=6,$I67,0)</f>
        <v>0</v>
      </c>
      <c r="AB67" s="2">
        <f t="shared" ref="AB67:AB73" si="87">IF($B67=7,$I67,0)</f>
        <v>0</v>
      </c>
      <c r="AC67" s="2">
        <f t="shared" ref="AC67:AC73" si="88">IF($B67=8,$I67,0)</f>
        <v>0</v>
      </c>
      <c r="AD67" s="2">
        <f t="shared" ref="AD67:AD73" si="89">IF($B67=9,$I67,0)</f>
        <v>0</v>
      </c>
    </row>
    <row r="68" spans="1:30" ht="17.100000000000001" customHeight="1" x14ac:dyDescent="0.2">
      <c r="A68" s="132"/>
      <c r="B68" s="104">
        <v>1</v>
      </c>
      <c r="C68" s="143"/>
      <c r="D68" s="143"/>
      <c r="E68" s="144"/>
      <c r="F68" s="142"/>
      <c r="G68" s="130"/>
      <c r="H68" s="91" t="str">
        <f>IF(AND(B68&gt;1,E68&gt;0),SUM(E103:E108)/2000,"")</f>
        <v/>
      </c>
      <c r="I68" s="92" t="str">
        <f t="shared" si="73"/>
        <v/>
      </c>
      <c r="K68" s="299">
        <v>1</v>
      </c>
      <c r="L68" s="148"/>
      <c r="M68" s="2">
        <f t="shared" si="74"/>
        <v>0</v>
      </c>
      <c r="N68" s="2">
        <f t="shared" si="75"/>
        <v>0</v>
      </c>
      <c r="O68" s="2">
        <f t="shared" si="76"/>
        <v>0</v>
      </c>
      <c r="P68" s="2">
        <f t="shared" si="77"/>
        <v>0</v>
      </c>
      <c r="Q68" s="2">
        <f t="shared" si="78"/>
        <v>0</v>
      </c>
      <c r="R68" s="2">
        <f t="shared" si="79"/>
        <v>0</v>
      </c>
      <c r="S68" s="2">
        <f t="shared" si="80"/>
        <v>0</v>
      </c>
      <c r="T68" s="2">
        <f t="shared" si="81"/>
        <v>0</v>
      </c>
      <c r="W68" s="2">
        <f t="shared" si="82"/>
        <v>0</v>
      </c>
      <c r="X68" s="2">
        <f t="shared" si="83"/>
        <v>0</v>
      </c>
      <c r="Y68" s="2">
        <f t="shared" si="84"/>
        <v>0</v>
      </c>
      <c r="Z68" s="2">
        <f t="shared" si="85"/>
        <v>0</v>
      </c>
      <c r="AA68" s="2">
        <f t="shared" si="86"/>
        <v>0</v>
      </c>
      <c r="AB68" s="2">
        <f t="shared" si="87"/>
        <v>0</v>
      </c>
      <c r="AC68" s="2">
        <f t="shared" si="88"/>
        <v>0</v>
      </c>
      <c r="AD68" s="2">
        <f t="shared" si="89"/>
        <v>0</v>
      </c>
    </row>
    <row r="69" spans="1:30" ht="17.100000000000001" customHeight="1" x14ac:dyDescent="0.2">
      <c r="A69" s="132"/>
      <c r="B69" s="104">
        <v>1</v>
      </c>
      <c r="C69" s="143"/>
      <c r="D69" s="143"/>
      <c r="E69" s="144"/>
      <c r="F69" s="142"/>
      <c r="G69" s="130"/>
      <c r="H69" s="91" t="str">
        <f>IF(AND(B69&gt;1,E69&gt;0),SUM(E115:E120)/2000,"")</f>
        <v/>
      </c>
      <c r="I69" s="92" t="str">
        <f t="shared" si="73"/>
        <v/>
      </c>
      <c r="K69" s="299">
        <v>1</v>
      </c>
      <c r="L69" s="148"/>
      <c r="M69" s="2">
        <f t="shared" si="74"/>
        <v>0</v>
      </c>
      <c r="N69" s="2">
        <f t="shared" si="75"/>
        <v>0</v>
      </c>
      <c r="O69" s="2">
        <f t="shared" si="76"/>
        <v>0</v>
      </c>
      <c r="P69" s="2">
        <f t="shared" si="77"/>
        <v>0</v>
      </c>
      <c r="Q69" s="2">
        <f t="shared" si="78"/>
        <v>0</v>
      </c>
      <c r="R69" s="2">
        <f t="shared" si="79"/>
        <v>0</v>
      </c>
      <c r="S69" s="2">
        <f t="shared" si="80"/>
        <v>0</v>
      </c>
      <c r="T69" s="2">
        <f t="shared" si="81"/>
        <v>0</v>
      </c>
      <c r="W69" s="2">
        <f t="shared" si="82"/>
        <v>0</v>
      </c>
      <c r="X69" s="2">
        <f t="shared" si="83"/>
        <v>0</v>
      </c>
      <c r="Y69" s="2">
        <f t="shared" si="84"/>
        <v>0</v>
      </c>
      <c r="Z69" s="2">
        <f t="shared" si="85"/>
        <v>0</v>
      </c>
      <c r="AA69" s="2">
        <f t="shared" si="86"/>
        <v>0</v>
      </c>
      <c r="AB69" s="2">
        <f t="shared" si="87"/>
        <v>0</v>
      </c>
      <c r="AC69" s="2">
        <f t="shared" si="88"/>
        <v>0</v>
      </c>
      <c r="AD69" s="2">
        <f t="shared" si="89"/>
        <v>0</v>
      </c>
    </row>
    <row r="70" spans="1:30" ht="17.100000000000001" customHeight="1" x14ac:dyDescent="0.2">
      <c r="A70" s="132"/>
      <c r="B70" s="104">
        <v>1</v>
      </c>
      <c r="C70" s="143"/>
      <c r="D70" s="143"/>
      <c r="E70" s="144"/>
      <c r="F70" s="142"/>
      <c r="G70" s="130"/>
      <c r="H70" s="91" t="str">
        <f>IF(AND(B70&gt;1,E70&gt;0),SUM(E127:E132)/2000,"")</f>
        <v/>
      </c>
      <c r="I70" s="92" t="str">
        <f t="shared" si="73"/>
        <v/>
      </c>
      <c r="K70" s="299">
        <v>1</v>
      </c>
      <c r="L70" s="148"/>
      <c r="M70" s="2">
        <f t="shared" si="74"/>
        <v>0</v>
      </c>
      <c r="N70" s="2">
        <f t="shared" si="75"/>
        <v>0</v>
      </c>
      <c r="O70" s="2">
        <f t="shared" si="76"/>
        <v>0</v>
      </c>
      <c r="P70" s="2">
        <f t="shared" si="77"/>
        <v>0</v>
      </c>
      <c r="Q70" s="2">
        <f t="shared" si="78"/>
        <v>0</v>
      </c>
      <c r="R70" s="2">
        <f t="shared" si="79"/>
        <v>0</v>
      </c>
      <c r="S70" s="2">
        <f t="shared" si="80"/>
        <v>0</v>
      </c>
      <c r="T70" s="2">
        <f t="shared" si="81"/>
        <v>0</v>
      </c>
      <c r="W70" s="2">
        <f t="shared" si="82"/>
        <v>0</v>
      </c>
      <c r="X70" s="2">
        <f t="shared" si="83"/>
        <v>0</v>
      </c>
      <c r="Y70" s="2">
        <f t="shared" si="84"/>
        <v>0</v>
      </c>
      <c r="Z70" s="2">
        <f t="shared" si="85"/>
        <v>0</v>
      </c>
      <c r="AA70" s="2">
        <f t="shared" si="86"/>
        <v>0</v>
      </c>
      <c r="AB70" s="2">
        <f t="shared" si="87"/>
        <v>0</v>
      </c>
      <c r="AC70" s="2">
        <f t="shared" si="88"/>
        <v>0</v>
      </c>
      <c r="AD70" s="2">
        <f t="shared" si="89"/>
        <v>0</v>
      </c>
    </row>
    <row r="71" spans="1:30" ht="17.100000000000001" customHeight="1" x14ac:dyDescent="0.2">
      <c r="A71" s="132"/>
      <c r="B71" s="104">
        <v>1</v>
      </c>
      <c r="C71" s="143"/>
      <c r="D71" s="143"/>
      <c r="E71" s="144"/>
      <c r="F71" s="142"/>
      <c r="G71" s="130"/>
      <c r="H71" s="91" t="str">
        <f>IF(AND(B71&gt;1,E71&gt;0),SUM(E139:E144)/2000,"")</f>
        <v/>
      </c>
      <c r="I71" s="92" t="str">
        <f t="shared" si="73"/>
        <v/>
      </c>
      <c r="K71" s="299">
        <v>1</v>
      </c>
      <c r="L71" s="148"/>
      <c r="M71" s="2">
        <f t="shared" si="74"/>
        <v>0</v>
      </c>
      <c r="N71" s="2">
        <f t="shared" si="75"/>
        <v>0</v>
      </c>
      <c r="O71" s="2">
        <f t="shared" si="76"/>
        <v>0</v>
      </c>
      <c r="P71" s="2">
        <f t="shared" si="77"/>
        <v>0</v>
      </c>
      <c r="Q71" s="2">
        <f t="shared" si="78"/>
        <v>0</v>
      </c>
      <c r="R71" s="2">
        <f t="shared" si="79"/>
        <v>0</v>
      </c>
      <c r="S71" s="2">
        <f t="shared" si="80"/>
        <v>0</v>
      </c>
      <c r="T71" s="2">
        <f t="shared" si="81"/>
        <v>0</v>
      </c>
      <c r="W71" s="2">
        <f t="shared" si="82"/>
        <v>0</v>
      </c>
      <c r="X71" s="2">
        <f t="shared" si="83"/>
        <v>0</v>
      </c>
      <c r="Y71" s="2">
        <f t="shared" si="84"/>
        <v>0</v>
      </c>
      <c r="Z71" s="2">
        <f t="shared" si="85"/>
        <v>0</v>
      </c>
      <c r="AA71" s="2">
        <f t="shared" si="86"/>
        <v>0</v>
      </c>
      <c r="AB71" s="2">
        <f t="shared" si="87"/>
        <v>0</v>
      </c>
      <c r="AC71" s="2">
        <f t="shared" si="88"/>
        <v>0</v>
      </c>
      <c r="AD71" s="2">
        <f t="shared" si="89"/>
        <v>0</v>
      </c>
    </row>
    <row r="72" spans="1:30" ht="17.100000000000001" customHeight="1" x14ac:dyDescent="0.2">
      <c r="A72" s="132"/>
      <c r="B72" s="104">
        <v>1</v>
      </c>
      <c r="C72" s="143"/>
      <c r="D72" s="143"/>
      <c r="E72" s="144"/>
      <c r="F72" s="142"/>
      <c r="G72" s="130"/>
      <c r="H72" s="91" t="str">
        <f>IF(AND(B72&gt;1,E72&gt;0),SUM(E151:E156)/2000,"")</f>
        <v/>
      </c>
      <c r="I72" s="92" t="str">
        <f t="shared" si="73"/>
        <v/>
      </c>
      <c r="K72" s="299">
        <v>1</v>
      </c>
      <c r="L72" s="148"/>
      <c r="M72" s="2">
        <f t="shared" si="74"/>
        <v>0</v>
      </c>
      <c r="N72" s="2">
        <f t="shared" si="75"/>
        <v>0</v>
      </c>
      <c r="O72" s="2">
        <f t="shared" si="76"/>
        <v>0</v>
      </c>
      <c r="P72" s="2">
        <f t="shared" si="77"/>
        <v>0</v>
      </c>
      <c r="Q72" s="2">
        <f t="shared" si="78"/>
        <v>0</v>
      </c>
      <c r="R72" s="2">
        <f t="shared" si="79"/>
        <v>0</v>
      </c>
      <c r="S72" s="2">
        <f t="shared" si="80"/>
        <v>0</v>
      </c>
      <c r="T72" s="2">
        <f t="shared" si="81"/>
        <v>0</v>
      </c>
      <c r="W72" s="2">
        <f t="shared" si="82"/>
        <v>0</v>
      </c>
      <c r="X72" s="2">
        <f t="shared" si="83"/>
        <v>0</v>
      </c>
      <c r="Y72" s="2">
        <f t="shared" si="84"/>
        <v>0</v>
      </c>
      <c r="Z72" s="2">
        <f t="shared" si="85"/>
        <v>0</v>
      </c>
      <c r="AA72" s="2">
        <f t="shared" si="86"/>
        <v>0</v>
      </c>
      <c r="AB72" s="2">
        <f t="shared" si="87"/>
        <v>0</v>
      </c>
      <c r="AC72" s="2">
        <f t="shared" si="88"/>
        <v>0</v>
      </c>
      <c r="AD72" s="2">
        <f t="shared" si="89"/>
        <v>0</v>
      </c>
    </row>
    <row r="73" spans="1:30" ht="17.100000000000001" customHeight="1" thickBot="1" x14ac:dyDescent="0.25">
      <c r="A73" s="133"/>
      <c r="B73" s="105">
        <v>1</v>
      </c>
      <c r="C73" s="146"/>
      <c r="D73" s="146"/>
      <c r="E73" s="147"/>
      <c r="F73" s="145"/>
      <c r="G73" s="130"/>
      <c r="H73" s="93" t="str">
        <f>IF(AND(B73&gt;1,E73&gt;0),SUM(E163:E168)/2000,"")</f>
        <v/>
      </c>
      <c r="I73" s="94" t="str">
        <f t="shared" si="73"/>
        <v/>
      </c>
      <c r="K73" s="299">
        <v>1</v>
      </c>
      <c r="L73" s="148"/>
      <c r="M73" s="2">
        <f t="shared" si="74"/>
        <v>0</v>
      </c>
      <c r="N73" s="2">
        <f t="shared" si="75"/>
        <v>0</v>
      </c>
      <c r="O73" s="2">
        <f t="shared" si="76"/>
        <v>0</v>
      </c>
      <c r="P73" s="2">
        <f t="shared" si="77"/>
        <v>0</v>
      </c>
      <c r="Q73" s="2">
        <f t="shared" si="78"/>
        <v>0</v>
      </c>
      <c r="R73" s="2">
        <f t="shared" si="79"/>
        <v>0</v>
      </c>
      <c r="S73" s="2">
        <f t="shared" si="80"/>
        <v>0</v>
      </c>
      <c r="T73" s="2">
        <f t="shared" si="81"/>
        <v>0</v>
      </c>
      <c r="W73" s="2">
        <f t="shared" si="82"/>
        <v>0</v>
      </c>
      <c r="X73" s="2">
        <f t="shared" si="83"/>
        <v>0</v>
      </c>
      <c r="Y73" s="2">
        <f t="shared" si="84"/>
        <v>0</v>
      </c>
      <c r="Z73" s="2">
        <f t="shared" si="85"/>
        <v>0</v>
      </c>
      <c r="AA73" s="2">
        <f t="shared" si="86"/>
        <v>0</v>
      </c>
      <c r="AB73" s="2">
        <f t="shared" si="87"/>
        <v>0</v>
      </c>
      <c r="AC73" s="2">
        <f t="shared" si="88"/>
        <v>0</v>
      </c>
      <c r="AD73" s="2">
        <f t="shared" si="89"/>
        <v>0</v>
      </c>
    </row>
    <row r="74" spans="1:30" hidden="1" x14ac:dyDescent="0.2">
      <c r="A74" s="1" t="s">
        <v>104</v>
      </c>
      <c r="K74" s="300"/>
      <c r="L74" s="295"/>
      <c r="W74" s="2">
        <f t="shared" si="82"/>
        <v>0</v>
      </c>
    </row>
    <row r="75" spans="1:30" hidden="1" x14ac:dyDescent="0.2">
      <c r="A75" s="1" t="s">
        <v>85</v>
      </c>
      <c r="B75" s="53">
        <f>D66</f>
        <v>0</v>
      </c>
      <c r="K75" s="300"/>
      <c r="L75" s="295"/>
      <c r="W75" s="2">
        <f t="shared" si="82"/>
        <v>0</v>
      </c>
    </row>
    <row r="76" spans="1:30" hidden="1" x14ac:dyDescent="0.2">
      <c r="A76" s="1" t="s">
        <v>86</v>
      </c>
      <c r="B76" s="53">
        <f>E66</f>
        <v>0</v>
      </c>
      <c r="K76" s="300"/>
      <c r="L76" s="295"/>
      <c r="W76" s="2">
        <f t="shared" si="82"/>
        <v>0</v>
      </c>
    </row>
    <row r="77" spans="1:30" hidden="1" x14ac:dyDescent="0.2">
      <c r="A77" s="1" t="s">
        <v>92</v>
      </c>
      <c r="B77" s="53">
        <f>B75-B76</f>
        <v>0</v>
      </c>
      <c r="K77" s="300"/>
      <c r="L77" s="295"/>
      <c r="W77" s="2">
        <f t="shared" si="82"/>
        <v>0</v>
      </c>
    </row>
    <row r="78" spans="1:30" hidden="1" x14ac:dyDescent="0.2">
      <c r="A78" s="1" t="s">
        <v>87</v>
      </c>
      <c r="B78" s="53">
        <f>C66</f>
        <v>0</v>
      </c>
      <c r="C78" s="16" t="s">
        <v>93</v>
      </c>
      <c r="D78" s="16" t="s">
        <v>94</v>
      </c>
      <c r="E78" s="16" t="s">
        <v>96</v>
      </c>
      <c r="F78" s="16" t="s">
        <v>97</v>
      </c>
      <c r="G78" s="16">
        <v>12.41</v>
      </c>
      <c r="H78" s="16">
        <v>18.78</v>
      </c>
      <c r="I78" s="16">
        <v>20.69</v>
      </c>
      <c r="J78" s="16">
        <v>21.33</v>
      </c>
      <c r="K78" s="301">
        <v>22.56</v>
      </c>
      <c r="L78" s="16"/>
      <c r="W78" s="2">
        <f t="shared" si="82"/>
        <v>0</v>
      </c>
    </row>
    <row r="79" spans="1:30" hidden="1" x14ac:dyDescent="0.2">
      <c r="A79" s="1" t="s">
        <v>88</v>
      </c>
      <c r="B79" s="53">
        <f t="shared" ref="B79:B84" si="90">(B$78/2)^2*PI()*D79</f>
        <v>0</v>
      </c>
      <c r="C79" s="1">
        <f>IF(B$75&lt;20,B$75,20)</f>
        <v>0</v>
      </c>
      <c r="D79" s="1">
        <f>IF(C79-B77&gt;0,C79-B77,0)</f>
        <v>0</v>
      </c>
      <c r="E79" s="1">
        <f>B79*INDEX(G$77:G$80,K66)</f>
        <v>0</v>
      </c>
      <c r="F79" s="16" t="s">
        <v>99</v>
      </c>
      <c r="G79" s="16">
        <v>38</v>
      </c>
      <c r="H79" s="16">
        <v>40</v>
      </c>
      <c r="I79" s="16">
        <v>42</v>
      </c>
      <c r="J79" s="16">
        <v>44</v>
      </c>
      <c r="K79" s="301">
        <v>46</v>
      </c>
      <c r="L79" s="16"/>
      <c r="W79" s="2">
        <f t="shared" si="82"/>
        <v>0</v>
      </c>
    </row>
    <row r="80" spans="1:30" hidden="1" x14ac:dyDescent="0.2">
      <c r="A80" s="1" t="s">
        <v>89</v>
      </c>
      <c r="B80" s="53">
        <f t="shared" si="90"/>
        <v>0</v>
      </c>
      <c r="C80" s="1">
        <f>IF(B$75-20&lt;0,0,IF(B$75&lt;40,B$75-20,20))</f>
        <v>0</v>
      </c>
      <c r="D80" s="1">
        <f>IF(B$77&gt;40,0,IF(AND(B$77&gt;20,B$77&lt;=40),C80-(B$77-20),C80))</f>
        <v>0</v>
      </c>
      <c r="E80" s="1">
        <f>B80*INDEX(H$77:H$80,K66)</f>
        <v>0</v>
      </c>
      <c r="F80" s="16" t="s">
        <v>98</v>
      </c>
      <c r="G80" s="16">
        <v>28</v>
      </c>
      <c r="H80" s="16">
        <v>30</v>
      </c>
      <c r="I80" s="16">
        <v>32</v>
      </c>
      <c r="J80" s="16">
        <v>34</v>
      </c>
      <c r="K80" s="301">
        <v>36</v>
      </c>
      <c r="L80" s="16"/>
      <c r="W80" s="2">
        <f t="shared" si="82"/>
        <v>0</v>
      </c>
    </row>
    <row r="81" spans="1:23" hidden="1" x14ac:dyDescent="0.2">
      <c r="A81" s="1" t="s">
        <v>90</v>
      </c>
      <c r="B81" s="53">
        <f t="shared" si="90"/>
        <v>0</v>
      </c>
      <c r="C81" s="1">
        <f>IF(B$75-40&lt;0,0,IF(B$75&lt;60,B$75-40,20))</f>
        <v>0</v>
      </c>
      <c r="D81" s="1">
        <f>IF(B$77&gt;60,0,IF(AND(B$77&gt;40,B$77&lt;=60),C81-(B$77-40),C81))</f>
        <v>0</v>
      </c>
      <c r="E81" s="1">
        <f>B81*INDEX(I$77:I$80,K66)</f>
        <v>0</v>
      </c>
      <c r="G81" s="2"/>
      <c r="K81" s="300"/>
      <c r="L81" s="295"/>
      <c r="W81" s="2">
        <f t="shared" si="82"/>
        <v>0</v>
      </c>
    </row>
    <row r="82" spans="1:23" hidden="1" x14ac:dyDescent="0.2">
      <c r="A82" s="1" t="s">
        <v>91</v>
      </c>
      <c r="B82" s="53">
        <f t="shared" si="90"/>
        <v>0</v>
      </c>
      <c r="C82" s="1">
        <f>IF(B$75-60&lt;0,0,IF(B$75&lt;80,B$75-60,20))</f>
        <v>0</v>
      </c>
      <c r="D82" s="1">
        <f>IF(B$77&gt;80,0,IF(AND(B$77&gt;60,B$77&lt;=80),C82-(B$77-60),C82))</f>
        <v>0</v>
      </c>
      <c r="E82" s="1">
        <f>B82*INDEX(J$77:J$80,K66)</f>
        <v>0</v>
      </c>
      <c r="G82" s="2"/>
      <c r="K82" s="300"/>
      <c r="L82" s="295"/>
      <c r="W82" s="2">
        <f t="shared" si="82"/>
        <v>0</v>
      </c>
    </row>
    <row r="83" spans="1:23" hidden="1" x14ac:dyDescent="0.2">
      <c r="A83" s="1" t="s">
        <v>95</v>
      </c>
      <c r="B83" s="53">
        <f t="shared" si="90"/>
        <v>0</v>
      </c>
      <c r="C83" s="1">
        <f>IF(B$75-80&lt;0,0,IF(B$75&lt;100,B$75-80,20))</f>
        <v>0</v>
      </c>
      <c r="D83" s="1">
        <f>IF(B$77&gt;100,0,IF(AND(B$77&gt;80,B$77&lt;=100),C83-(B$77-80),C83))</f>
        <v>0</v>
      </c>
      <c r="E83" s="1">
        <f>B83*INDEX(K$77:K$80,K66)</f>
        <v>0</v>
      </c>
      <c r="G83" s="2"/>
      <c r="K83" s="300"/>
      <c r="L83" s="295"/>
      <c r="W83" s="2">
        <f t="shared" si="82"/>
        <v>0</v>
      </c>
    </row>
    <row r="84" spans="1:23" hidden="1" x14ac:dyDescent="0.2">
      <c r="A84" s="1" t="s">
        <v>263</v>
      </c>
      <c r="B84" s="53">
        <f t="shared" si="90"/>
        <v>0</v>
      </c>
      <c r="C84" s="1">
        <f>IF(B$75-100&lt;0,0,IF(B$75&lt;120,B$75-100,20))</f>
        <v>0</v>
      </c>
      <c r="D84" s="1">
        <f>IF(B$77&gt;120,0,IF(AND(B$77&gt;100,B$77&lt;=120),C84-(B$77-100),C84))</f>
        <v>0</v>
      </c>
      <c r="E84" s="1">
        <f>B84*INDEX(K$77:K$80,K66)</f>
        <v>0</v>
      </c>
      <c r="G84" s="296"/>
      <c r="J84" s="296"/>
      <c r="K84" s="300"/>
      <c r="L84" s="296"/>
      <c r="M84" s="296"/>
      <c r="N84" s="296"/>
      <c r="O84" s="296"/>
      <c r="P84" s="296"/>
      <c r="Q84" s="296"/>
      <c r="R84" s="296"/>
      <c r="S84" s="296"/>
      <c r="T84" s="296"/>
      <c r="U84" s="296"/>
      <c r="V84" s="296"/>
      <c r="W84" s="296"/>
    </row>
    <row r="85" spans="1:23" hidden="1" x14ac:dyDescent="0.2">
      <c r="B85" s="16"/>
      <c r="K85" s="300"/>
      <c r="L85" s="295"/>
      <c r="W85" s="2">
        <f t="shared" si="82"/>
        <v>0</v>
      </c>
    </row>
    <row r="86" spans="1:23" hidden="1" x14ac:dyDescent="0.2">
      <c r="A86" s="1" t="s">
        <v>106</v>
      </c>
      <c r="K86" s="300"/>
      <c r="L86" s="295"/>
      <c r="W86" s="2">
        <f t="shared" si="82"/>
        <v>0</v>
      </c>
    </row>
    <row r="87" spans="1:23" hidden="1" x14ac:dyDescent="0.2">
      <c r="A87" s="1" t="s">
        <v>85</v>
      </c>
      <c r="B87" s="53">
        <f>D67</f>
        <v>0</v>
      </c>
      <c r="K87" s="300"/>
      <c r="L87" s="295"/>
      <c r="W87" s="2">
        <f t="shared" si="82"/>
        <v>0</v>
      </c>
    </row>
    <row r="88" spans="1:23" hidden="1" x14ac:dyDescent="0.2">
      <c r="A88" s="1" t="s">
        <v>86</v>
      </c>
      <c r="B88" s="53">
        <f>E67</f>
        <v>0</v>
      </c>
      <c r="K88" s="300"/>
      <c r="L88" s="295"/>
      <c r="W88" s="2">
        <f t="shared" si="82"/>
        <v>0</v>
      </c>
    </row>
    <row r="89" spans="1:23" hidden="1" x14ac:dyDescent="0.2">
      <c r="A89" s="1" t="s">
        <v>92</v>
      </c>
      <c r="B89" s="53">
        <f>B87-B88</f>
        <v>0</v>
      </c>
      <c r="K89" s="300"/>
      <c r="L89" s="295"/>
      <c r="W89" s="2">
        <f t="shared" si="82"/>
        <v>0</v>
      </c>
    </row>
    <row r="90" spans="1:23" hidden="1" x14ac:dyDescent="0.2">
      <c r="A90" s="1" t="s">
        <v>87</v>
      </c>
      <c r="B90" s="53">
        <f>C67</f>
        <v>0</v>
      </c>
      <c r="C90" s="16" t="s">
        <v>93</v>
      </c>
      <c r="D90" s="16" t="s">
        <v>94</v>
      </c>
      <c r="E90" s="16" t="s">
        <v>96</v>
      </c>
      <c r="K90" s="300"/>
      <c r="L90" s="295"/>
      <c r="W90" s="2">
        <f t="shared" si="82"/>
        <v>0</v>
      </c>
    </row>
    <row r="91" spans="1:23" hidden="1" x14ac:dyDescent="0.2">
      <c r="A91" s="1" t="s">
        <v>88</v>
      </c>
      <c r="B91" s="53">
        <f t="shared" ref="B91:B96" si="91">(B$90/2)^2*PI()*D91</f>
        <v>0</v>
      </c>
      <c r="C91" s="1">
        <f>IF(B$87&lt;20,B$87,20)</f>
        <v>0</v>
      </c>
      <c r="D91" s="1">
        <f>IF(C91-B89&gt;0,C91-B89,0)</f>
        <v>0</v>
      </c>
      <c r="E91" s="1">
        <f>B91*INDEX(G$77:G$80,K67)</f>
        <v>0</v>
      </c>
      <c r="K91" s="300"/>
      <c r="L91" s="295"/>
      <c r="W91" s="2">
        <f t="shared" si="82"/>
        <v>0</v>
      </c>
    </row>
    <row r="92" spans="1:23" hidden="1" x14ac:dyDescent="0.2">
      <c r="A92" s="1" t="s">
        <v>89</v>
      </c>
      <c r="B92" s="53">
        <f t="shared" si="91"/>
        <v>0</v>
      </c>
      <c r="C92" s="1">
        <f>IF(B$87-20&lt;0,0,IF(B$87&lt;40,B$87-20,20))</f>
        <v>0</v>
      </c>
      <c r="D92" s="1">
        <f>IF(B$89&gt;40,0,IF(AND(B$89&gt;20,B$89&lt;=40),C92-(B$89-20),C92))</f>
        <v>0</v>
      </c>
      <c r="E92" s="1">
        <f>B92*INDEX(H$77:H$80,K67)</f>
        <v>0</v>
      </c>
      <c r="K92" s="300"/>
      <c r="L92" s="295"/>
      <c r="W92" s="2">
        <f t="shared" si="82"/>
        <v>0</v>
      </c>
    </row>
    <row r="93" spans="1:23" hidden="1" x14ac:dyDescent="0.2">
      <c r="A93" s="1" t="s">
        <v>90</v>
      </c>
      <c r="B93" s="53">
        <f t="shared" si="91"/>
        <v>0</v>
      </c>
      <c r="C93" s="1">
        <f>IF(B$87-40&lt;0,0,IF(B$87&lt;60,B$87-40,20))</f>
        <v>0</v>
      </c>
      <c r="D93" s="1">
        <f>IF(B$89&gt;60,0,IF(AND(B$89&gt;40,B$89&lt;=60),C93-(B$89-40),C93))</f>
        <v>0</v>
      </c>
      <c r="E93" s="1">
        <f>B93*INDEX(I$77:I$80,K67)</f>
        <v>0</v>
      </c>
      <c r="K93" s="300"/>
      <c r="L93" s="295"/>
      <c r="W93" s="2">
        <f t="shared" si="82"/>
        <v>0</v>
      </c>
    </row>
    <row r="94" spans="1:23" hidden="1" x14ac:dyDescent="0.2">
      <c r="A94" s="1" t="s">
        <v>91</v>
      </c>
      <c r="B94" s="53">
        <f t="shared" si="91"/>
        <v>0</v>
      </c>
      <c r="C94" s="1">
        <f>IF(B$87-60&lt;0,0,IF(B$87&lt;80,B$87-60,20))</f>
        <v>0</v>
      </c>
      <c r="D94" s="1">
        <f>IF(B$89&gt;80,0,IF(AND(B$89&gt;60,B$89&lt;=80),C94-(B$89-60),C94))</f>
        <v>0</v>
      </c>
      <c r="E94" s="1">
        <f>B94*INDEX(J$77:J$80,K67)</f>
        <v>0</v>
      </c>
      <c r="K94" s="300"/>
      <c r="L94" s="295"/>
      <c r="W94" s="2">
        <f t="shared" si="82"/>
        <v>0</v>
      </c>
    </row>
    <row r="95" spans="1:23" hidden="1" x14ac:dyDescent="0.2">
      <c r="A95" s="1" t="s">
        <v>95</v>
      </c>
      <c r="B95" s="53">
        <f t="shared" si="91"/>
        <v>0</v>
      </c>
      <c r="C95" s="1">
        <f>IF(B$87-80&lt;0,0,IF(B$87&lt;100,B$87-80,20))</f>
        <v>0</v>
      </c>
      <c r="D95" s="1">
        <f>IF(B$89&gt;100,0,IF(AND(B$89&gt;80,B$89&lt;=100),C95-(B$89-80),C95))</f>
        <v>0</v>
      </c>
      <c r="E95" s="1">
        <f>B95*INDEX(K$77:K$80,K67)</f>
        <v>0</v>
      </c>
      <c r="K95" s="300"/>
      <c r="L95" s="295"/>
      <c r="W95" s="2">
        <f t="shared" si="82"/>
        <v>0</v>
      </c>
    </row>
    <row r="96" spans="1:23" hidden="1" x14ac:dyDescent="0.2">
      <c r="A96" s="1" t="s">
        <v>263</v>
      </c>
      <c r="B96" s="53">
        <f t="shared" si="91"/>
        <v>0</v>
      </c>
      <c r="C96" s="1">
        <f>IF(B$87-100&lt;0,0,IF(B$87&lt;120,B$87-100,20))</f>
        <v>0</v>
      </c>
      <c r="D96" s="1">
        <f>IF(B$89&gt;120,0,IF(AND(B$89&gt;100,B$89&lt;=120),C96-(B$89-100),C96))</f>
        <v>0</v>
      </c>
      <c r="E96" s="1">
        <f>B96*INDEX(K$77:K$80,K67)</f>
        <v>0</v>
      </c>
      <c r="J96" s="296"/>
      <c r="K96" s="300"/>
      <c r="L96" s="296"/>
      <c r="M96" s="296"/>
      <c r="N96" s="296"/>
      <c r="O96" s="296"/>
      <c r="P96" s="296"/>
      <c r="Q96" s="296"/>
      <c r="R96" s="296"/>
      <c r="S96" s="296"/>
      <c r="T96" s="296"/>
      <c r="U96" s="296"/>
      <c r="V96" s="296"/>
      <c r="W96" s="296"/>
    </row>
    <row r="97" spans="1:23" hidden="1" x14ac:dyDescent="0.2">
      <c r="K97" s="300"/>
      <c r="L97" s="295"/>
      <c r="W97" s="2">
        <f t="shared" si="82"/>
        <v>0</v>
      </c>
    </row>
    <row r="98" spans="1:23" hidden="1" x14ac:dyDescent="0.2">
      <c r="A98" s="1" t="s">
        <v>107</v>
      </c>
      <c r="K98" s="300"/>
      <c r="L98" s="295"/>
      <c r="W98" s="2">
        <f t="shared" si="82"/>
        <v>0</v>
      </c>
    </row>
    <row r="99" spans="1:23" hidden="1" x14ac:dyDescent="0.2">
      <c r="A99" s="1" t="s">
        <v>85</v>
      </c>
      <c r="B99" s="53">
        <f>D68</f>
        <v>0</v>
      </c>
      <c r="K99" s="300"/>
      <c r="L99" s="295"/>
      <c r="W99" s="2">
        <f t="shared" si="82"/>
        <v>0</v>
      </c>
    </row>
    <row r="100" spans="1:23" hidden="1" x14ac:dyDescent="0.2">
      <c r="A100" s="1" t="s">
        <v>86</v>
      </c>
      <c r="B100" s="53">
        <f>E68</f>
        <v>0</v>
      </c>
      <c r="K100" s="300"/>
      <c r="L100" s="295"/>
      <c r="W100" s="2">
        <f t="shared" si="82"/>
        <v>0</v>
      </c>
    </row>
    <row r="101" spans="1:23" hidden="1" x14ac:dyDescent="0.2">
      <c r="A101" s="1" t="s">
        <v>92</v>
      </c>
      <c r="B101" s="53">
        <f>B99-B100</f>
        <v>0</v>
      </c>
      <c r="K101" s="300"/>
      <c r="L101" s="295"/>
      <c r="W101" s="2">
        <f t="shared" si="82"/>
        <v>0</v>
      </c>
    </row>
    <row r="102" spans="1:23" hidden="1" x14ac:dyDescent="0.2">
      <c r="A102" s="1" t="s">
        <v>87</v>
      </c>
      <c r="B102" s="53">
        <f>C68</f>
        <v>0</v>
      </c>
      <c r="C102" s="16" t="s">
        <v>93</v>
      </c>
      <c r="D102" s="16" t="s">
        <v>94</v>
      </c>
      <c r="E102" s="16" t="s">
        <v>96</v>
      </c>
      <c r="K102" s="300"/>
      <c r="L102" s="295"/>
      <c r="W102" s="2">
        <f t="shared" si="82"/>
        <v>0</v>
      </c>
    </row>
    <row r="103" spans="1:23" hidden="1" x14ac:dyDescent="0.2">
      <c r="A103" s="1" t="s">
        <v>88</v>
      </c>
      <c r="B103" s="53">
        <f t="shared" ref="B103:B108" si="92">(B$102/2)^2*PI()*D103</f>
        <v>0</v>
      </c>
      <c r="C103" s="1">
        <f>IF(B$99&lt;20,B$99,20)</f>
        <v>0</v>
      </c>
      <c r="D103" s="1">
        <f>IF(C103-B101&gt;0,C103-B101,0)</f>
        <v>0</v>
      </c>
      <c r="E103" s="1">
        <f>B103*INDEX(G$77:G$80,K68)</f>
        <v>0</v>
      </c>
      <c r="K103" s="300"/>
      <c r="L103" s="295"/>
      <c r="W103" s="2">
        <f t="shared" si="82"/>
        <v>0</v>
      </c>
    </row>
    <row r="104" spans="1:23" hidden="1" x14ac:dyDescent="0.2">
      <c r="A104" s="1" t="s">
        <v>89</v>
      </c>
      <c r="B104" s="53">
        <f t="shared" si="92"/>
        <v>0</v>
      </c>
      <c r="C104" s="1">
        <f>IF(B$99-20&lt;0,0,IF(B$99&lt;40,B$99-20,20))</f>
        <v>0</v>
      </c>
      <c r="D104" s="1">
        <f>IF(B$101&gt;40,0,IF(AND(B$101&gt;20,B$101&lt;=40),C104-(B$101-20),C104))</f>
        <v>0</v>
      </c>
      <c r="E104" s="1">
        <f>B104*INDEX(H$77:H$80,K68)</f>
        <v>0</v>
      </c>
      <c r="K104" s="300"/>
      <c r="L104" s="295"/>
      <c r="W104" s="2">
        <f t="shared" si="82"/>
        <v>0</v>
      </c>
    </row>
    <row r="105" spans="1:23" hidden="1" x14ac:dyDescent="0.2">
      <c r="A105" s="1" t="s">
        <v>90</v>
      </c>
      <c r="B105" s="53">
        <f t="shared" si="92"/>
        <v>0</v>
      </c>
      <c r="C105" s="1">
        <f>IF(B$99-40&lt;0,0,IF(B$99&lt;60,B$99-40,20))</f>
        <v>0</v>
      </c>
      <c r="D105" s="1">
        <f>IF(B$101&gt;60,0,IF(AND(B$101&gt;40,B$101&lt;=60),C105-(B$101-40),C105))</f>
        <v>0</v>
      </c>
      <c r="E105" s="1">
        <f>B105*INDEX(I$77:I$80,K68)</f>
        <v>0</v>
      </c>
      <c r="K105" s="300"/>
      <c r="L105" s="295"/>
      <c r="W105" s="2">
        <f t="shared" si="82"/>
        <v>0</v>
      </c>
    </row>
    <row r="106" spans="1:23" hidden="1" x14ac:dyDescent="0.2">
      <c r="A106" s="1" t="s">
        <v>91</v>
      </c>
      <c r="B106" s="53">
        <f t="shared" si="92"/>
        <v>0</v>
      </c>
      <c r="C106" s="1">
        <f>IF(B$99-60&lt;0,0,IF(B$99&lt;80,B$99-60,20))</f>
        <v>0</v>
      </c>
      <c r="D106" s="1">
        <f>IF(B$101&gt;80,0,IF(AND(B$101&gt;60,B$101&lt;=80),C106-(B$101-60),C106))</f>
        <v>0</v>
      </c>
      <c r="E106" s="1">
        <f>B106*INDEX(J$77:J$80,K68)</f>
        <v>0</v>
      </c>
      <c r="K106" s="300"/>
      <c r="L106" s="295"/>
      <c r="W106" s="2">
        <f t="shared" si="82"/>
        <v>0</v>
      </c>
    </row>
    <row r="107" spans="1:23" hidden="1" x14ac:dyDescent="0.2">
      <c r="A107" s="1" t="s">
        <v>95</v>
      </c>
      <c r="B107" s="53">
        <f t="shared" si="92"/>
        <v>0</v>
      </c>
      <c r="C107" s="1">
        <f>IF(B$99-80&lt;0,0,IF(B$99&lt;100,B$99-80,20))</f>
        <v>0</v>
      </c>
      <c r="D107" s="1">
        <f>IF(B$101&gt;100,0,IF(AND(B$101&gt;80,B$101&lt;=100),C107-(B$101-80),C107))</f>
        <v>0</v>
      </c>
      <c r="E107" s="1">
        <f>B107*INDEX(K$77:K$80,K68)</f>
        <v>0</v>
      </c>
      <c r="K107" s="300"/>
      <c r="L107" s="295"/>
      <c r="W107" s="2">
        <f t="shared" si="82"/>
        <v>0</v>
      </c>
    </row>
    <row r="108" spans="1:23" hidden="1" x14ac:dyDescent="0.2">
      <c r="A108" s="1" t="s">
        <v>263</v>
      </c>
      <c r="B108" s="53">
        <f t="shared" si="92"/>
        <v>0</v>
      </c>
      <c r="C108" s="1">
        <f>IF(B$99-100&lt;0,0,IF(B$99&lt;120,B$99-100,20))</f>
        <v>0</v>
      </c>
      <c r="D108" s="1">
        <f>IF(B$101&gt;120,0,IF(AND(B$101&gt;100,B$101&lt;=120),C108-(B$101-100),C108))</f>
        <v>0</v>
      </c>
      <c r="E108" s="1">
        <f>B108*INDEX(K$77:K$80,K68)</f>
        <v>0</v>
      </c>
      <c r="J108" s="296"/>
      <c r="K108" s="300"/>
      <c r="L108" s="296"/>
      <c r="M108" s="296"/>
      <c r="N108" s="296"/>
      <c r="O108" s="296"/>
      <c r="P108" s="296"/>
      <c r="Q108" s="296"/>
      <c r="R108" s="296"/>
      <c r="S108" s="296"/>
      <c r="T108" s="296"/>
      <c r="U108" s="296"/>
      <c r="V108" s="296"/>
      <c r="W108" s="296"/>
    </row>
    <row r="109" spans="1:23" hidden="1" x14ac:dyDescent="0.2">
      <c r="K109" s="300"/>
      <c r="L109" s="295"/>
      <c r="W109" s="2">
        <f t="shared" si="82"/>
        <v>0</v>
      </c>
    </row>
    <row r="110" spans="1:23" hidden="1" x14ac:dyDescent="0.2">
      <c r="A110" s="1" t="s">
        <v>108</v>
      </c>
      <c r="K110" s="300"/>
      <c r="L110" s="295"/>
      <c r="W110" s="2">
        <f t="shared" si="82"/>
        <v>0</v>
      </c>
    </row>
    <row r="111" spans="1:23" hidden="1" x14ac:dyDescent="0.2">
      <c r="A111" s="1" t="s">
        <v>85</v>
      </c>
      <c r="B111" s="53">
        <f>D69</f>
        <v>0</v>
      </c>
      <c r="K111" s="300"/>
      <c r="L111" s="295"/>
      <c r="W111" s="2">
        <f t="shared" si="82"/>
        <v>0</v>
      </c>
    </row>
    <row r="112" spans="1:23" hidden="1" x14ac:dyDescent="0.2">
      <c r="A112" s="1" t="s">
        <v>86</v>
      </c>
      <c r="B112" s="53">
        <f>E69</f>
        <v>0</v>
      </c>
      <c r="K112" s="300"/>
      <c r="L112" s="295"/>
      <c r="W112" s="2">
        <f t="shared" si="82"/>
        <v>0</v>
      </c>
    </row>
    <row r="113" spans="1:23" hidden="1" x14ac:dyDescent="0.2">
      <c r="A113" s="1" t="s">
        <v>92</v>
      </c>
      <c r="B113" s="53">
        <f>B111-B112</f>
        <v>0</v>
      </c>
      <c r="K113" s="300"/>
      <c r="L113" s="295"/>
      <c r="W113" s="2">
        <f t="shared" si="82"/>
        <v>0</v>
      </c>
    </row>
    <row r="114" spans="1:23" hidden="1" x14ac:dyDescent="0.2">
      <c r="A114" s="1" t="s">
        <v>87</v>
      </c>
      <c r="B114" s="53">
        <f>C69</f>
        <v>0</v>
      </c>
      <c r="C114" s="16" t="s">
        <v>93</v>
      </c>
      <c r="D114" s="16" t="s">
        <v>94</v>
      </c>
      <c r="E114" s="16" t="s">
        <v>96</v>
      </c>
      <c r="K114" s="300"/>
      <c r="L114" s="295"/>
      <c r="W114" s="2">
        <f t="shared" si="82"/>
        <v>0</v>
      </c>
    </row>
    <row r="115" spans="1:23" hidden="1" x14ac:dyDescent="0.2">
      <c r="A115" s="1" t="s">
        <v>88</v>
      </c>
      <c r="B115" s="53">
        <f t="shared" ref="B115:B120" si="93">(B$114/2)^2*PI()*D115</f>
        <v>0</v>
      </c>
      <c r="C115" s="1">
        <f>IF(B$111&lt;20,B$111,20)</f>
        <v>0</v>
      </c>
      <c r="D115" s="1">
        <f>IF(C115-B113&gt;0,C115-B113,0)</f>
        <v>0</v>
      </c>
      <c r="E115" s="1">
        <f>B115*INDEX(G$77:G$80,K69)</f>
        <v>0</v>
      </c>
      <c r="K115" s="300"/>
      <c r="L115" s="295"/>
      <c r="W115" s="2">
        <f t="shared" si="82"/>
        <v>0</v>
      </c>
    </row>
    <row r="116" spans="1:23" hidden="1" x14ac:dyDescent="0.2">
      <c r="A116" s="1" t="s">
        <v>89</v>
      </c>
      <c r="B116" s="53">
        <f t="shared" si="93"/>
        <v>0</v>
      </c>
      <c r="C116" s="1">
        <f>IF(B$111-20&lt;0,0,IF(B$111&lt;40,B$111-20,20))</f>
        <v>0</v>
      </c>
      <c r="D116" s="1">
        <f>IF(B$113&gt;40,0,IF(AND(B$113&gt;20,B$113&lt;=40),C116-(B$113-20),C116))</f>
        <v>0</v>
      </c>
      <c r="E116" s="1">
        <f>B116*INDEX(H$77:H$80,K69)</f>
        <v>0</v>
      </c>
      <c r="K116" s="300"/>
      <c r="L116" s="295"/>
      <c r="W116" s="2">
        <f t="shared" si="82"/>
        <v>0</v>
      </c>
    </row>
    <row r="117" spans="1:23" hidden="1" x14ac:dyDescent="0.2">
      <c r="A117" s="1" t="s">
        <v>90</v>
      </c>
      <c r="B117" s="53">
        <f t="shared" si="93"/>
        <v>0</v>
      </c>
      <c r="C117" s="1">
        <f>IF(B$111-40&lt;0,0,IF(B$111&lt;60,B$111-40,20))</f>
        <v>0</v>
      </c>
      <c r="D117" s="1">
        <f>IF(B$113&gt;60,0,IF(AND(B$113&gt;40,B$113&lt;=60),C117-(B$113-40),C117))</f>
        <v>0</v>
      </c>
      <c r="E117" s="1">
        <f>B117*INDEX(I$77:I$80,K69)</f>
        <v>0</v>
      </c>
      <c r="K117" s="300"/>
      <c r="L117" s="295"/>
      <c r="W117" s="2">
        <f t="shared" si="82"/>
        <v>0</v>
      </c>
    </row>
    <row r="118" spans="1:23" hidden="1" x14ac:dyDescent="0.2">
      <c r="A118" s="1" t="s">
        <v>91</v>
      </c>
      <c r="B118" s="53">
        <f t="shared" si="93"/>
        <v>0</v>
      </c>
      <c r="C118" s="1">
        <f>IF(B$111-60&lt;0,0,IF(B$111&lt;80,B$111-60,20))</f>
        <v>0</v>
      </c>
      <c r="D118" s="1">
        <f>IF(B$113&gt;80,0,IF(AND(B$113&gt;60,B$113&lt;=80),C118-(B$113-60),C118))</f>
        <v>0</v>
      </c>
      <c r="E118" s="1">
        <f>B118*INDEX(J$77:J$80,K69)</f>
        <v>0</v>
      </c>
      <c r="K118" s="300"/>
      <c r="L118" s="295"/>
      <c r="W118" s="2">
        <f t="shared" si="82"/>
        <v>0</v>
      </c>
    </row>
    <row r="119" spans="1:23" hidden="1" x14ac:dyDescent="0.2">
      <c r="A119" s="1" t="s">
        <v>95</v>
      </c>
      <c r="B119" s="53">
        <f t="shared" si="93"/>
        <v>0</v>
      </c>
      <c r="C119" s="1">
        <f>IF(B$111-80&lt;0,0,IF(B$111&lt;100,B$111-80,20))</f>
        <v>0</v>
      </c>
      <c r="D119" s="1">
        <f>IF(B$113&gt;100,0,IF(AND(B$113&gt;80,B$113&lt;=100),C119-(B$113-80),C119))</f>
        <v>0</v>
      </c>
      <c r="E119" s="1">
        <f>B119*INDEX(K$77:K$80,K69)</f>
        <v>0</v>
      </c>
      <c r="K119" s="300"/>
      <c r="L119" s="295"/>
      <c r="W119" s="2">
        <f t="shared" si="82"/>
        <v>0</v>
      </c>
    </row>
    <row r="120" spans="1:23" hidden="1" x14ac:dyDescent="0.2">
      <c r="A120" s="1" t="s">
        <v>263</v>
      </c>
      <c r="B120" s="53">
        <f t="shared" si="93"/>
        <v>0</v>
      </c>
      <c r="C120" s="1">
        <f>IF(B$111-100&lt;0,0,IF(B$111&lt;120,B$111-100,20))</f>
        <v>0</v>
      </c>
      <c r="D120" s="1">
        <f>IF(B$113&gt;120,0,IF(AND(B$113&gt;100,B$113&lt;=120),C120-(B$113-100),C120))</f>
        <v>0</v>
      </c>
      <c r="E120" s="1">
        <f>B120*INDEX(K$77:K$80,K69)</f>
        <v>0</v>
      </c>
      <c r="J120" s="296"/>
      <c r="K120" s="300"/>
      <c r="L120" s="296"/>
      <c r="M120" s="296"/>
      <c r="N120" s="296"/>
      <c r="O120" s="296"/>
      <c r="P120" s="296"/>
      <c r="Q120" s="296"/>
      <c r="R120" s="296"/>
      <c r="S120" s="296"/>
      <c r="T120" s="296"/>
      <c r="U120" s="296"/>
      <c r="V120" s="296"/>
      <c r="W120" s="296"/>
    </row>
    <row r="121" spans="1:23" hidden="1" x14ac:dyDescent="0.2">
      <c r="K121" s="300"/>
      <c r="L121" s="295"/>
      <c r="W121" s="2">
        <f t="shared" si="82"/>
        <v>0</v>
      </c>
    </row>
    <row r="122" spans="1:23" hidden="1" x14ac:dyDescent="0.2">
      <c r="A122" s="1" t="s">
        <v>109</v>
      </c>
      <c r="K122" s="300"/>
      <c r="L122" s="295"/>
      <c r="W122" s="2">
        <f t="shared" si="82"/>
        <v>0</v>
      </c>
    </row>
    <row r="123" spans="1:23" hidden="1" x14ac:dyDescent="0.2">
      <c r="A123" s="1" t="s">
        <v>85</v>
      </c>
      <c r="B123" s="53">
        <f>D70</f>
        <v>0</v>
      </c>
      <c r="K123" s="300"/>
      <c r="L123" s="295"/>
      <c r="W123" s="2">
        <f t="shared" si="82"/>
        <v>0</v>
      </c>
    </row>
    <row r="124" spans="1:23" hidden="1" x14ac:dyDescent="0.2">
      <c r="A124" s="1" t="s">
        <v>86</v>
      </c>
      <c r="B124" s="53">
        <f>E70</f>
        <v>0</v>
      </c>
      <c r="K124" s="300"/>
      <c r="L124" s="295"/>
      <c r="W124" s="2">
        <f t="shared" si="82"/>
        <v>0</v>
      </c>
    </row>
    <row r="125" spans="1:23" hidden="1" x14ac:dyDescent="0.2">
      <c r="A125" s="1" t="s">
        <v>92</v>
      </c>
      <c r="B125" s="53">
        <f>B123-B124</f>
        <v>0</v>
      </c>
      <c r="K125" s="300"/>
      <c r="L125" s="295"/>
      <c r="W125" s="2">
        <f t="shared" si="82"/>
        <v>0</v>
      </c>
    </row>
    <row r="126" spans="1:23" hidden="1" x14ac:dyDescent="0.2">
      <c r="A126" s="1" t="s">
        <v>87</v>
      </c>
      <c r="B126" s="53">
        <f>C70</f>
        <v>0</v>
      </c>
      <c r="C126" s="16" t="s">
        <v>93</v>
      </c>
      <c r="D126" s="16" t="s">
        <v>94</v>
      </c>
      <c r="E126" s="16" t="s">
        <v>96</v>
      </c>
      <c r="K126" s="300"/>
      <c r="L126" s="295"/>
      <c r="W126" s="2">
        <f t="shared" si="82"/>
        <v>0</v>
      </c>
    </row>
    <row r="127" spans="1:23" hidden="1" x14ac:dyDescent="0.2">
      <c r="A127" s="1" t="s">
        <v>88</v>
      </c>
      <c r="B127" s="53">
        <f t="shared" ref="B127:B132" si="94">(B$126/2)^2*PI()*D127</f>
        <v>0</v>
      </c>
      <c r="C127" s="1">
        <f>IF(B$123&lt;20,B$123,20)</f>
        <v>0</v>
      </c>
      <c r="D127" s="1">
        <f>IF(C127-B125&gt;0,C127-B125,0)</f>
        <v>0</v>
      </c>
      <c r="E127" s="1">
        <f>B127*INDEX(G$77:G$80,K70)</f>
        <v>0</v>
      </c>
      <c r="K127" s="300"/>
      <c r="L127" s="295"/>
      <c r="W127" s="2">
        <f t="shared" si="82"/>
        <v>0</v>
      </c>
    </row>
    <row r="128" spans="1:23" hidden="1" x14ac:dyDescent="0.2">
      <c r="A128" s="1" t="s">
        <v>89</v>
      </c>
      <c r="B128" s="53">
        <f t="shared" si="94"/>
        <v>0</v>
      </c>
      <c r="C128" s="1">
        <f>IF(B$123-20&lt;0,0,IF(B$123&lt;40,B$123-20,20))</f>
        <v>0</v>
      </c>
      <c r="D128" s="1">
        <f>IF(B$125&gt;40,0,IF(AND(B$125&gt;20,B$125&lt;=40),C128-(B$125-20),C128))</f>
        <v>0</v>
      </c>
      <c r="E128" s="1">
        <f>B128*INDEX(H$77:H$80,K70)</f>
        <v>0</v>
      </c>
      <c r="K128" s="300"/>
      <c r="L128" s="295"/>
      <c r="W128" s="2">
        <f t="shared" si="82"/>
        <v>0</v>
      </c>
    </row>
    <row r="129" spans="1:23" hidden="1" x14ac:dyDescent="0.2">
      <c r="A129" s="1" t="s">
        <v>90</v>
      </c>
      <c r="B129" s="53">
        <f t="shared" si="94"/>
        <v>0</v>
      </c>
      <c r="C129" s="1">
        <f>IF(B$123-40&lt;0,0,IF(B$123&lt;60,B$123-40,20))</f>
        <v>0</v>
      </c>
      <c r="D129" s="1">
        <f>IF(B$125&gt;60,0,IF(AND(B$125&gt;40,B$125&lt;=60),C129-(B$125-40),C129))</f>
        <v>0</v>
      </c>
      <c r="E129" s="1">
        <f>B129*INDEX(I$77:I$80,K70)</f>
        <v>0</v>
      </c>
      <c r="K129" s="300"/>
      <c r="L129" s="295"/>
      <c r="W129" s="2">
        <f t="shared" si="82"/>
        <v>0</v>
      </c>
    </row>
    <row r="130" spans="1:23" hidden="1" x14ac:dyDescent="0.2">
      <c r="A130" s="1" t="s">
        <v>91</v>
      </c>
      <c r="B130" s="53">
        <f t="shared" si="94"/>
        <v>0</v>
      </c>
      <c r="C130" s="1">
        <f>IF(B$123-60&lt;0,0,IF(B$123&lt;80,B$123-60,20))</f>
        <v>0</v>
      </c>
      <c r="D130" s="1">
        <f>IF(B$125&gt;80,0,IF(AND(B$125&gt;60,B$125&lt;=80),C130-(B$125-60),C130))</f>
        <v>0</v>
      </c>
      <c r="E130" s="1">
        <f>B130*INDEX(J$77:J$80,K70)</f>
        <v>0</v>
      </c>
      <c r="K130" s="300"/>
      <c r="L130" s="295"/>
      <c r="W130" s="2">
        <f t="shared" si="82"/>
        <v>0</v>
      </c>
    </row>
    <row r="131" spans="1:23" hidden="1" x14ac:dyDescent="0.2">
      <c r="A131" s="1" t="s">
        <v>95</v>
      </c>
      <c r="B131" s="53">
        <f t="shared" si="94"/>
        <v>0</v>
      </c>
      <c r="C131" s="1">
        <f>IF(B$123-80&lt;0,0,IF(B$123&lt;100,B$123-80,20))</f>
        <v>0</v>
      </c>
      <c r="D131" s="1">
        <f>IF(B$125&gt;100,0,IF(AND(B$125&gt;80,B$125&lt;=100),C131-(B$125-80),C131))</f>
        <v>0</v>
      </c>
      <c r="E131" s="1">
        <f>B131*INDEX(K$77:K$80,K70)</f>
        <v>0</v>
      </c>
      <c r="K131" s="300"/>
      <c r="L131" s="295"/>
      <c r="W131" s="2">
        <f t="shared" si="82"/>
        <v>0</v>
      </c>
    </row>
    <row r="132" spans="1:23" hidden="1" x14ac:dyDescent="0.2">
      <c r="A132" s="1" t="s">
        <v>263</v>
      </c>
      <c r="B132" s="53">
        <f t="shared" si="94"/>
        <v>0</v>
      </c>
      <c r="C132" s="1">
        <f>IF(B$123-100&lt;0,0,IF(B$123&lt;120,B$123-100,20))</f>
        <v>0</v>
      </c>
      <c r="D132" s="1">
        <f>IF(B$125&gt;120,0,IF(AND(B$125&gt;100,B$125&lt;=120),C132-(B$125-100),C132))</f>
        <v>0</v>
      </c>
      <c r="E132" s="1">
        <f>B132*INDEX(K$77:K$80,K70)</f>
        <v>0</v>
      </c>
      <c r="J132" s="296"/>
      <c r="K132" s="300"/>
      <c r="L132" s="296"/>
      <c r="M132" s="296"/>
      <c r="N132" s="296"/>
      <c r="O132" s="296"/>
      <c r="P132" s="296"/>
      <c r="Q132" s="296"/>
      <c r="R132" s="296"/>
      <c r="S132" s="296"/>
      <c r="T132" s="296"/>
      <c r="U132" s="296"/>
      <c r="V132" s="296"/>
      <c r="W132" s="296"/>
    </row>
    <row r="133" spans="1:23" hidden="1" x14ac:dyDescent="0.2">
      <c r="K133" s="300"/>
      <c r="L133" s="295"/>
      <c r="W133" s="2">
        <f t="shared" si="82"/>
        <v>0</v>
      </c>
    </row>
    <row r="134" spans="1:23" hidden="1" x14ac:dyDescent="0.2">
      <c r="A134" s="1" t="s">
        <v>110</v>
      </c>
      <c r="K134" s="300"/>
      <c r="L134" s="295"/>
      <c r="W134" s="2">
        <f t="shared" si="82"/>
        <v>0</v>
      </c>
    </row>
    <row r="135" spans="1:23" hidden="1" x14ac:dyDescent="0.2">
      <c r="A135" s="1" t="s">
        <v>85</v>
      </c>
      <c r="B135" s="53">
        <f>D71</f>
        <v>0</v>
      </c>
      <c r="K135" s="300"/>
      <c r="L135" s="295"/>
      <c r="W135" s="2">
        <f t="shared" si="82"/>
        <v>0</v>
      </c>
    </row>
    <row r="136" spans="1:23" hidden="1" x14ac:dyDescent="0.2">
      <c r="A136" s="1" t="s">
        <v>86</v>
      </c>
      <c r="B136" s="53">
        <f>E71</f>
        <v>0</v>
      </c>
      <c r="K136" s="300"/>
      <c r="L136" s="295"/>
      <c r="W136" s="2">
        <f t="shared" ref="W136:W167" si="95">IF($B136=2,$I136,0)</f>
        <v>0</v>
      </c>
    </row>
    <row r="137" spans="1:23" hidden="1" x14ac:dyDescent="0.2">
      <c r="A137" s="1" t="s">
        <v>92</v>
      </c>
      <c r="B137" s="53">
        <f>B135-B136</f>
        <v>0</v>
      </c>
      <c r="K137" s="300"/>
      <c r="L137" s="295"/>
      <c r="W137" s="2">
        <f t="shared" si="95"/>
        <v>0</v>
      </c>
    </row>
    <row r="138" spans="1:23" hidden="1" x14ac:dyDescent="0.2">
      <c r="A138" s="1" t="s">
        <v>87</v>
      </c>
      <c r="B138" s="53">
        <f>C71</f>
        <v>0</v>
      </c>
      <c r="C138" s="16" t="s">
        <v>93</v>
      </c>
      <c r="D138" s="16" t="s">
        <v>94</v>
      </c>
      <c r="E138" s="16" t="s">
        <v>96</v>
      </c>
      <c r="K138" s="300"/>
      <c r="L138" s="295"/>
      <c r="W138" s="2">
        <f t="shared" si="95"/>
        <v>0</v>
      </c>
    </row>
    <row r="139" spans="1:23" hidden="1" x14ac:dyDescent="0.2">
      <c r="A139" s="1" t="s">
        <v>88</v>
      </c>
      <c r="B139" s="53">
        <f t="shared" ref="B139:B144" si="96">(B$138/2)^2*PI()*D139</f>
        <v>0</v>
      </c>
      <c r="C139" s="1">
        <f>IF(B$135&lt;20,B$135,20)</f>
        <v>0</v>
      </c>
      <c r="D139" s="1">
        <f>IF(C139-B137&gt;0,C139-B137,0)</f>
        <v>0</v>
      </c>
      <c r="E139" s="1">
        <f>B139*INDEX(G$77:G$80,K71)</f>
        <v>0</v>
      </c>
      <c r="K139" s="300"/>
      <c r="L139" s="295"/>
      <c r="W139" s="2">
        <f t="shared" si="95"/>
        <v>0</v>
      </c>
    </row>
    <row r="140" spans="1:23" hidden="1" x14ac:dyDescent="0.2">
      <c r="A140" s="1" t="s">
        <v>89</v>
      </c>
      <c r="B140" s="53">
        <f t="shared" si="96"/>
        <v>0</v>
      </c>
      <c r="C140" s="1">
        <f>IF(B$135-20&lt;0,0,IF(B$135&lt;40,B$135-20,20))</f>
        <v>0</v>
      </c>
      <c r="D140" s="1">
        <f>IF(B$137&gt;40,0,IF(AND(B$137&gt;20,B$137&lt;=40),C140-(B$137-20),C140))</f>
        <v>0</v>
      </c>
      <c r="E140" s="1">
        <f>B140*INDEX(H$77:H$80,K71)</f>
        <v>0</v>
      </c>
      <c r="K140" s="300"/>
      <c r="L140" s="295"/>
      <c r="W140" s="2">
        <f t="shared" si="95"/>
        <v>0</v>
      </c>
    </row>
    <row r="141" spans="1:23" hidden="1" x14ac:dyDescent="0.2">
      <c r="A141" s="1" t="s">
        <v>90</v>
      </c>
      <c r="B141" s="53">
        <f t="shared" si="96"/>
        <v>0</v>
      </c>
      <c r="C141" s="1">
        <f>IF(B$135-40&lt;0,0,IF(B$135&lt;60,B$135-40,20))</f>
        <v>0</v>
      </c>
      <c r="D141" s="1">
        <f>IF(B$137&gt;60,0,IF(AND(B$137&gt;40,B$137&lt;=60),C141-(B$137-40),C141))</f>
        <v>0</v>
      </c>
      <c r="E141" s="1">
        <f>B141*INDEX(I$77:I$80,K71)</f>
        <v>0</v>
      </c>
      <c r="K141" s="300"/>
      <c r="L141" s="295"/>
      <c r="W141" s="2">
        <f t="shared" si="95"/>
        <v>0</v>
      </c>
    </row>
    <row r="142" spans="1:23" hidden="1" x14ac:dyDescent="0.2">
      <c r="A142" s="1" t="s">
        <v>91</v>
      </c>
      <c r="B142" s="53">
        <f t="shared" si="96"/>
        <v>0</v>
      </c>
      <c r="C142" s="1">
        <f>IF(B$135-60&lt;0,0,IF(B$135&lt;80,B$135-60,20))</f>
        <v>0</v>
      </c>
      <c r="D142" s="1">
        <f>IF(B$137&gt;80,0,IF(AND(B$137&gt;60,B$137&lt;=80),C142-(B$137-60),C142))</f>
        <v>0</v>
      </c>
      <c r="E142" s="1">
        <f>B142*INDEX(J$77:J$80,K71)</f>
        <v>0</v>
      </c>
      <c r="K142" s="300"/>
      <c r="L142" s="295"/>
      <c r="W142" s="2">
        <f t="shared" si="95"/>
        <v>0</v>
      </c>
    </row>
    <row r="143" spans="1:23" hidden="1" x14ac:dyDescent="0.2">
      <c r="A143" s="1" t="s">
        <v>95</v>
      </c>
      <c r="B143" s="53">
        <f t="shared" si="96"/>
        <v>0</v>
      </c>
      <c r="C143" s="1">
        <f>IF(B$135-80&lt;0,0,IF(B$135&lt;100,B$135-80,20))</f>
        <v>0</v>
      </c>
      <c r="D143" s="1">
        <f>IF(B$137&gt;100,0,IF(AND(B$137&gt;80,B$137&lt;=100),C143-(B$137-80),C143))</f>
        <v>0</v>
      </c>
      <c r="E143" s="1">
        <f>B143*INDEX(K$77:K$80,K71)</f>
        <v>0</v>
      </c>
      <c r="K143" s="300"/>
      <c r="L143" s="295"/>
      <c r="W143" s="2">
        <f t="shared" si="95"/>
        <v>0</v>
      </c>
    </row>
    <row r="144" spans="1:23" hidden="1" x14ac:dyDescent="0.2">
      <c r="A144" s="1" t="s">
        <v>263</v>
      </c>
      <c r="B144" s="53">
        <f t="shared" si="96"/>
        <v>0</v>
      </c>
      <c r="C144" s="1">
        <f>IF(B$135-100&lt;0,0,IF(B$135&lt;120,B$135-100,20))</f>
        <v>0</v>
      </c>
      <c r="D144" s="1">
        <f>IF(B$137&gt;120,0,IF(AND(B$137&gt;100,B$137&lt;=120),C144-(B$137-100),C144))</f>
        <v>0</v>
      </c>
      <c r="E144" s="1">
        <f>B144*INDEX(K$77:K$80,K71)</f>
        <v>0</v>
      </c>
      <c r="J144" s="296"/>
      <c r="K144" s="300"/>
      <c r="L144" s="296"/>
      <c r="M144" s="296"/>
      <c r="N144" s="296"/>
      <c r="O144" s="296"/>
      <c r="P144" s="296"/>
      <c r="Q144" s="296"/>
      <c r="R144" s="296"/>
      <c r="S144" s="296"/>
      <c r="T144" s="296"/>
      <c r="U144" s="296"/>
      <c r="V144" s="296"/>
      <c r="W144" s="296"/>
    </row>
    <row r="145" spans="1:23" hidden="1" x14ac:dyDescent="0.2">
      <c r="K145" s="300"/>
      <c r="L145" s="295"/>
      <c r="W145" s="2">
        <f t="shared" si="95"/>
        <v>0</v>
      </c>
    </row>
    <row r="146" spans="1:23" hidden="1" x14ac:dyDescent="0.2">
      <c r="A146" s="1" t="s">
        <v>111</v>
      </c>
      <c r="K146" s="300"/>
      <c r="L146" s="295"/>
      <c r="W146" s="2">
        <f t="shared" si="95"/>
        <v>0</v>
      </c>
    </row>
    <row r="147" spans="1:23" hidden="1" x14ac:dyDescent="0.2">
      <c r="A147" s="1" t="s">
        <v>85</v>
      </c>
      <c r="B147" s="53">
        <f>D72</f>
        <v>0</v>
      </c>
      <c r="K147" s="300"/>
      <c r="L147" s="295"/>
      <c r="W147" s="2">
        <f t="shared" si="95"/>
        <v>0</v>
      </c>
    </row>
    <row r="148" spans="1:23" hidden="1" x14ac:dyDescent="0.2">
      <c r="A148" s="1" t="s">
        <v>86</v>
      </c>
      <c r="B148" s="53">
        <f>E72</f>
        <v>0</v>
      </c>
      <c r="K148" s="300"/>
      <c r="L148" s="295"/>
      <c r="W148" s="2">
        <f t="shared" si="95"/>
        <v>0</v>
      </c>
    </row>
    <row r="149" spans="1:23" hidden="1" x14ac:dyDescent="0.2">
      <c r="A149" s="1" t="s">
        <v>92</v>
      </c>
      <c r="B149" s="53">
        <f>B147-B148</f>
        <v>0</v>
      </c>
      <c r="K149" s="300"/>
      <c r="L149" s="295"/>
      <c r="W149" s="2">
        <f t="shared" si="95"/>
        <v>0</v>
      </c>
    </row>
    <row r="150" spans="1:23" hidden="1" x14ac:dyDescent="0.2">
      <c r="A150" s="1" t="s">
        <v>87</v>
      </c>
      <c r="B150" s="53">
        <f>C72</f>
        <v>0</v>
      </c>
      <c r="C150" s="16" t="s">
        <v>93</v>
      </c>
      <c r="D150" s="16" t="s">
        <v>94</v>
      </c>
      <c r="E150" s="16" t="s">
        <v>96</v>
      </c>
      <c r="K150" s="300"/>
      <c r="L150" s="295"/>
      <c r="W150" s="2">
        <f t="shared" si="95"/>
        <v>0</v>
      </c>
    </row>
    <row r="151" spans="1:23" hidden="1" x14ac:dyDescent="0.2">
      <c r="A151" s="1" t="s">
        <v>88</v>
      </c>
      <c r="B151" s="53">
        <f t="shared" ref="B151:B156" si="97">(B$150/2)^2*PI()*D151</f>
        <v>0</v>
      </c>
      <c r="C151" s="1">
        <f>IF(B$147&lt;20,B$147,20)</f>
        <v>0</v>
      </c>
      <c r="D151" s="1">
        <f>IF(C151-B149&gt;0,C151-B149,0)</f>
        <v>0</v>
      </c>
      <c r="E151" s="1">
        <f>B151*INDEX(G$77:G$80,K72)</f>
        <v>0</v>
      </c>
      <c r="K151" s="300"/>
      <c r="L151" s="295"/>
      <c r="W151" s="2">
        <f t="shared" si="95"/>
        <v>0</v>
      </c>
    </row>
    <row r="152" spans="1:23" hidden="1" x14ac:dyDescent="0.2">
      <c r="A152" s="1" t="s">
        <v>89</v>
      </c>
      <c r="B152" s="53">
        <f t="shared" si="97"/>
        <v>0</v>
      </c>
      <c r="C152" s="1">
        <f>IF(B$147-20&lt;0,0,IF(B$147&lt;40,B$147-20,20))</f>
        <v>0</v>
      </c>
      <c r="D152" s="1">
        <f>IF(B$149&gt;40,0,IF(AND(B$149&gt;20,B$149&lt;=40),C152-(B$149-20),C152))</f>
        <v>0</v>
      </c>
      <c r="E152" s="1">
        <f>B152*INDEX(H$77:H$80,K72)</f>
        <v>0</v>
      </c>
      <c r="K152" s="300"/>
      <c r="L152" s="295"/>
      <c r="W152" s="2">
        <f t="shared" si="95"/>
        <v>0</v>
      </c>
    </row>
    <row r="153" spans="1:23" hidden="1" x14ac:dyDescent="0.2">
      <c r="A153" s="1" t="s">
        <v>90</v>
      </c>
      <c r="B153" s="53">
        <f t="shared" si="97"/>
        <v>0</v>
      </c>
      <c r="C153" s="1">
        <f>IF(B$147-40&lt;0,0,IF(B$147&lt;60,B$147-40,20))</f>
        <v>0</v>
      </c>
      <c r="D153" s="1">
        <f>IF(B$149&gt;60,0,IF(AND(B$149&gt;40,B$149&lt;=60),C153-(B$149-40),C153))</f>
        <v>0</v>
      </c>
      <c r="E153" s="1">
        <f>B153*INDEX(I$77:I$80,K72)</f>
        <v>0</v>
      </c>
      <c r="K153" s="300"/>
      <c r="L153" s="295"/>
      <c r="W153" s="2">
        <f t="shared" si="95"/>
        <v>0</v>
      </c>
    </row>
    <row r="154" spans="1:23" hidden="1" x14ac:dyDescent="0.2">
      <c r="A154" s="1" t="s">
        <v>91</v>
      </c>
      <c r="B154" s="53">
        <f t="shared" si="97"/>
        <v>0</v>
      </c>
      <c r="C154" s="1">
        <f>IF(B$147-60&lt;0,0,IF(B$147&lt;80,B$147-60,20))</f>
        <v>0</v>
      </c>
      <c r="D154" s="1">
        <f>IF(B$149&gt;80,0,IF(AND(B$149&gt;60,B$149&lt;=80),C154-(B$149-60),C154))</f>
        <v>0</v>
      </c>
      <c r="E154" s="1">
        <f>B154*INDEX(J$77:J$80,K72)</f>
        <v>0</v>
      </c>
      <c r="K154" s="300"/>
      <c r="L154" s="295"/>
      <c r="W154" s="2">
        <f t="shared" si="95"/>
        <v>0</v>
      </c>
    </row>
    <row r="155" spans="1:23" hidden="1" x14ac:dyDescent="0.2">
      <c r="A155" s="1" t="s">
        <v>95</v>
      </c>
      <c r="B155" s="53">
        <f t="shared" si="97"/>
        <v>0</v>
      </c>
      <c r="C155" s="1">
        <f>IF(B$147-80&lt;0,0,IF(B$147&lt;100,B$147-80,20))</f>
        <v>0</v>
      </c>
      <c r="D155" s="1">
        <f>IF(B$149&gt;100,0,IF(AND(B$149&gt;80,B$149&lt;=100),C155-(B$149-80),C155))</f>
        <v>0</v>
      </c>
      <c r="E155" s="1">
        <f>B155*INDEX(K$77:K$80,K72)</f>
        <v>0</v>
      </c>
      <c r="K155" s="300"/>
      <c r="L155" s="295"/>
      <c r="W155" s="2">
        <f t="shared" si="95"/>
        <v>0</v>
      </c>
    </row>
    <row r="156" spans="1:23" hidden="1" x14ac:dyDescent="0.2">
      <c r="A156" s="1" t="s">
        <v>263</v>
      </c>
      <c r="B156" s="53">
        <f t="shared" si="97"/>
        <v>0</v>
      </c>
      <c r="C156" s="1">
        <f>IF(B$147-100&lt;0,0,IF(B$147&lt;120,B$147-100,20))</f>
        <v>0</v>
      </c>
      <c r="D156" s="1">
        <f>IF(B$149&gt;120,0,IF(AND(B$149&gt;100,B$149&lt;=120),C156-(B$149-100),C156))</f>
        <v>0</v>
      </c>
      <c r="E156" s="1">
        <f>B156*INDEX(K$77:K$80,K72)</f>
        <v>0</v>
      </c>
      <c r="J156" s="296"/>
      <c r="K156" s="300"/>
      <c r="L156" s="296"/>
      <c r="M156" s="296"/>
      <c r="N156" s="296"/>
      <c r="O156" s="296"/>
      <c r="P156" s="296"/>
      <c r="Q156" s="296"/>
      <c r="R156" s="296"/>
      <c r="S156" s="296"/>
      <c r="T156" s="296"/>
      <c r="U156" s="296"/>
      <c r="V156" s="296"/>
      <c r="W156" s="296"/>
    </row>
    <row r="157" spans="1:23" hidden="1" x14ac:dyDescent="0.2">
      <c r="K157" s="300"/>
      <c r="L157" s="295"/>
      <c r="W157" s="2">
        <f t="shared" si="95"/>
        <v>0</v>
      </c>
    </row>
    <row r="158" spans="1:23" hidden="1" x14ac:dyDescent="0.2">
      <c r="A158" s="1" t="s">
        <v>112</v>
      </c>
      <c r="K158" s="300"/>
      <c r="L158" s="295"/>
      <c r="W158" s="2">
        <f t="shared" si="95"/>
        <v>0</v>
      </c>
    </row>
    <row r="159" spans="1:23" hidden="1" x14ac:dyDescent="0.2">
      <c r="A159" s="1" t="s">
        <v>85</v>
      </c>
      <c r="B159" s="53">
        <f>D73</f>
        <v>0</v>
      </c>
      <c r="K159" s="300"/>
      <c r="L159" s="295"/>
      <c r="W159" s="2">
        <f t="shared" si="95"/>
        <v>0</v>
      </c>
    </row>
    <row r="160" spans="1:23" hidden="1" x14ac:dyDescent="0.2">
      <c r="A160" s="1" t="s">
        <v>86</v>
      </c>
      <c r="B160" s="53">
        <f>E73</f>
        <v>0</v>
      </c>
      <c r="K160" s="300"/>
      <c r="L160" s="295"/>
      <c r="W160" s="2">
        <f t="shared" si="95"/>
        <v>0</v>
      </c>
    </row>
    <row r="161" spans="1:30" hidden="1" x14ac:dyDescent="0.2">
      <c r="A161" s="1" t="s">
        <v>92</v>
      </c>
      <c r="B161" s="53">
        <f>B159-B160</f>
        <v>0</v>
      </c>
      <c r="K161" s="300"/>
      <c r="L161" s="295"/>
      <c r="W161" s="2">
        <f t="shared" si="95"/>
        <v>0</v>
      </c>
    </row>
    <row r="162" spans="1:30" hidden="1" x14ac:dyDescent="0.2">
      <c r="A162" s="1" t="s">
        <v>87</v>
      </c>
      <c r="B162" s="53">
        <f>C73</f>
        <v>0</v>
      </c>
      <c r="C162" s="16" t="s">
        <v>93</v>
      </c>
      <c r="D162" s="16" t="s">
        <v>94</v>
      </c>
      <c r="E162" s="16" t="s">
        <v>96</v>
      </c>
      <c r="K162" s="300"/>
      <c r="L162" s="295"/>
      <c r="W162" s="2">
        <f t="shared" si="95"/>
        <v>0</v>
      </c>
    </row>
    <row r="163" spans="1:30" hidden="1" x14ac:dyDescent="0.2">
      <c r="A163" s="1" t="s">
        <v>88</v>
      </c>
      <c r="B163" s="53">
        <f t="shared" ref="B163:B168" si="98">(B$162/2)^2*PI()*D163</f>
        <v>0</v>
      </c>
      <c r="C163" s="1">
        <f>IF(B$159&lt;20,B$159,20)</f>
        <v>0</v>
      </c>
      <c r="D163" s="1">
        <f>IF(C163-B161&gt;0,C163-B161,0)</f>
        <v>0</v>
      </c>
      <c r="E163" s="1">
        <f>B163*INDEX(G$77:G$80,K73)</f>
        <v>0</v>
      </c>
      <c r="K163" s="300"/>
      <c r="L163" s="295"/>
      <c r="W163" s="2">
        <f t="shared" si="95"/>
        <v>0</v>
      </c>
    </row>
    <row r="164" spans="1:30" hidden="1" x14ac:dyDescent="0.2">
      <c r="A164" s="1" t="s">
        <v>89</v>
      </c>
      <c r="B164" s="53">
        <f t="shared" si="98"/>
        <v>0</v>
      </c>
      <c r="C164" s="1">
        <f>IF(B$159-20&lt;0,0,IF(B$159&lt;40,B$159-20,20))</f>
        <v>0</v>
      </c>
      <c r="D164" s="1">
        <f>IF(B$161&gt;40,0,IF(AND(B$161&gt;20,B$161&lt;=40),C164-(B$161-20),C164))</f>
        <v>0</v>
      </c>
      <c r="E164" s="1">
        <f>B164*INDEX(H$77:H$80,K73)</f>
        <v>0</v>
      </c>
      <c r="K164" s="300"/>
      <c r="L164" s="295"/>
      <c r="W164" s="2">
        <f t="shared" si="95"/>
        <v>0</v>
      </c>
    </row>
    <row r="165" spans="1:30" hidden="1" x14ac:dyDescent="0.2">
      <c r="A165" s="1" t="s">
        <v>90</v>
      </c>
      <c r="B165" s="53">
        <f t="shared" si="98"/>
        <v>0</v>
      </c>
      <c r="C165" s="1">
        <f>IF(B$159-40&lt;0,0,IF(B$159&lt;60,B$159-40,20))</f>
        <v>0</v>
      </c>
      <c r="D165" s="1">
        <f>IF(B$161&gt;60,0,IF(AND(B$161&gt;40,B$161&lt;=60),C165-(B$161-40),C165))</f>
        <v>0</v>
      </c>
      <c r="E165" s="1">
        <f>B165*INDEX(I$77:I$80,K73)</f>
        <v>0</v>
      </c>
      <c r="K165" s="300"/>
      <c r="L165" s="295"/>
      <c r="W165" s="2">
        <f t="shared" si="95"/>
        <v>0</v>
      </c>
    </row>
    <row r="166" spans="1:30" hidden="1" x14ac:dyDescent="0.2">
      <c r="A166" s="1" t="s">
        <v>91</v>
      </c>
      <c r="B166" s="53">
        <f t="shared" si="98"/>
        <v>0</v>
      </c>
      <c r="C166" s="1">
        <f>IF(B$159-60&lt;0,0,IF(B$159&lt;80,B$159-60,20))</f>
        <v>0</v>
      </c>
      <c r="D166" s="1">
        <f>IF(B$161&gt;80,0,IF(AND(B$161&gt;60,B$161&lt;=80),C166-(B$161-60),C166))</f>
        <v>0</v>
      </c>
      <c r="E166" s="1">
        <f>B166*INDEX(J$77:J$80,K73)</f>
        <v>0</v>
      </c>
      <c r="K166" s="300"/>
      <c r="L166" s="295"/>
      <c r="W166" s="2">
        <f t="shared" si="95"/>
        <v>0</v>
      </c>
    </row>
    <row r="167" spans="1:30" hidden="1" x14ac:dyDescent="0.2">
      <c r="A167" s="1" t="s">
        <v>95</v>
      </c>
      <c r="B167" s="53">
        <f t="shared" si="98"/>
        <v>0</v>
      </c>
      <c r="C167" s="1">
        <f>IF(B$159-80&lt;0,0,IF(B$159&lt;100,B$159-80,20))</f>
        <v>0</v>
      </c>
      <c r="D167" s="1">
        <f>IF(B$161&gt;100,0,IF(AND(B$161&gt;80,B$161&lt;=100),C167-(B$161-80),C167))</f>
        <v>0</v>
      </c>
      <c r="E167" s="1">
        <f>B167*INDEX(K$77:K$80,K73)</f>
        <v>0</v>
      </c>
      <c r="K167" s="300"/>
      <c r="L167" s="295"/>
      <c r="W167" s="2">
        <f t="shared" si="95"/>
        <v>0</v>
      </c>
    </row>
    <row r="168" spans="1:30" hidden="1" x14ac:dyDescent="0.2">
      <c r="A168" s="1" t="s">
        <v>263</v>
      </c>
      <c r="B168" s="53">
        <f t="shared" si="98"/>
        <v>0</v>
      </c>
      <c r="C168" s="1">
        <f>IF(B$159-100&lt;0,0,IF(B$159&lt;120,B$159-100,20))</f>
        <v>0</v>
      </c>
      <c r="D168" s="1">
        <f>IF(B$161&gt;120,0,IF(AND(B$161&gt;100,B$161&lt;=120),C168-(B$161-100),C168))</f>
        <v>0</v>
      </c>
      <c r="E168" s="1">
        <f>B168*INDEX(K$77:K$80,K73)</f>
        <v>0</v>
      </c>
      <c r="J168" s="296"/>
      <c r="K168" s="300"/>
      <c r="L168" s="296"/>
      <c r="M168" s="296"/>
      <c r="N168" s="296"/>
      <c r="O168" s="296"/>
      <c r="P168" s="296"/>
      <c r="Q168" s="296"/>
      <c r="R168" s="296"/>
      <c r="S168" s="296"/>
      <c r="T168" s="296"/>
      <c r="U168" s="296"/>
      <c r="V168" s="296"/>
      <c r="W168" s="296"/>
    </row>
    <row r="169" spans="1:30" ht="13.5" thickBot="1" x14ac:dyDescent="0.25">
      <c r="K169" s="300"/>
      <c r="L169" s="295"/>
      <c r="W169" s="2"/>
    </row>
    <row r="170" spans="1:30" x14ac:dyDescent="0.2">
      <c r="A170" s="84" t="s">
        <v>113</v>
      </c>
      <c r="B170" s="100"/>
      <c r="C170" s="84"/>
      <c r="D170" s="84"/>
      <c r="E170" s="84"/>
      <c r="F170" s="84"/>
      <c r="G170" s="84"/>
      <c r="H170" s="84"/>
      <c r="I170" s="85"/>
      <c r="J170" s="1"/>
      <c r="K170" s="298"/>
      <c r="L170" s="1"/>
      <c r="M170" s="1"/>
      <c r="W170" s="2"/>
      <c r="X170" s="2"/>
      <c r="Y170" s="2"/>
      <c r="Z170" s="2"/>
    </row>
    <row r="171" spans="1:30" x14ac:dyDescent="0.2">
      <c r="A171" s="87"/>
      <c r="B171" s="95"/>
      <c r="C171" s="87"/>
      <c r="D171" s="87"/>
      <c r="E171" s="87"/>
      <c r="F171" s="87"/>
      <c r="G171" s="87"/>
      <c r="H171" s="87"/>
      <c r="I171" s="88"/>
      <c r="J171" s="1"/>
      <c r="K171" s="298"/>
      <c r="L171" s="1"/>
      <c r="M171" s="1"/>
      <c r="W171" s="2"/>
      <c r="X171" s="2"/>
      <c r="Y171" s="2"/>
      <c r="Z171" s="2"/>
    </row>
    <row r="172" spans="1:30" x14ac:dyDescent="0.2">
      <c r="A172" s="87" t="s">
        <v>43</v>
      </c>
      <c r="B172" s="87" t="s">
        <v>63</v>
      </c>
      <c r="C172" s="95" t="s">
        <v>103</v>
      </c>
      <c r="D172" s="95" t="s">
        <v>101</v>
      </c>
      <c r="E172" s="95" t="s">
        <v>102</v>
      </c>
      <c r="F172" s="95" t="s">
        <v>47</v>
      </c>
      <c r="G172" s="95" t="s">
        <v>100</v>
      </c>
      <c r="H172" s="89" t="s">
        <v>48</v>
      </c>
      <c r="I172" s="90" t="s">
        <v>49</v>
      </c>
      <c r="K172" s="298"/>
      <c r="L172" s="1"/>
      <c r="M172" s="1"/>
      <c r="W172" s="2"/>
      <c r="X172" s="2"/>
      <c r="Y172" s="2"/>
      <c r="Z172" s="2"/>
    </row>
    <row r="173" spans="1:30" ht="17.100000000000001" customHeight="1" x14ac:dyDescent="0.2">
      <c r="A173" s="132"/>
      <c r="B173" s="104">
        <v>1</v>
      </c>
      <c r="C173" s="143"/>
      <c r="D173" s="143"/>
      <c r="E173" s="144"/>
      <c r="F173" s="142"/>
      <c r="G173" s="130"/>
      <c r="H173" s="91" t="str">
        <f>IF(AND(B173&gt;1,E173&gt;0),SUM(E186:E191)/2000,"")</f>
        <v/>
      </c>
      <c r="I173" s="92" t="str">
        <f>IF(AND(B173&gt;1,F173&gt;0),H173/F173,"")</f>
        <v/>
      </c>
      <c r="K173" s="299">
        <v>1</v>
      </c>
      <c r="L173" s="148"/>
      <c r="M173" s="2">
        <f>IF($B173=2,$H173,0)</f>
        <v>0</v>
      </c>
      <c r="N173" s="2">
        <f>IF($B173=3,$H173,0)</f>
        <v>0</v>
      </c>
      <c r="O173" s="2">
        <f>IF($B173=4,$H173,0)</f>
        <v>0</v>
      </c>
      <c r="P173" s="2">
        <f>IF($B173=5,$H173,0)</f>
        <v>0</v>
      </c>
      <c r="Q173" s="2">
        <f>IF($B173=6,$H173,0)</f>
        <v>0</v>
      </c>
      <c r="R173" s="2">
        <f>IF($B173=7,$H173,0)</f>
        <v>0</v>
      </c>
      <c r="S173" s="2">
        <f>IF($B173=8,$H173,0)</f>
        <v>0</v>
      </c>
      <c r="T173" s="2">
        <f>IF($B173=9,$H173,0)</f>
        <v>0</v>
      </c>
      <c r="W173" s="2">
        <f>IF($B173=2,$I173,0)</f>
        <v>0</v>
      </c>
      <c r="X173" s="2">
        <f>IF($B173=3,$I173,0)</f>
        <v>0</v>
      </c>
      <c r="Y173" s="2">
        <f>IF($B173=4,$I173,0)</f>
        <v>0</v>
      </c>
      <c r="Z173" s="2">
        <f>IF($B173=5,$I173,0)</f>
        <v>0</v>
      </c>
      <c r="AA173" s="2">
        <f>IF($B173=6,$I173,0)</f>
        <v>0</v>
      </c>
      <c r="AB173" s="2">
        <f>IF($B173=7,$I173,0)</f>
        <v>0</v>
      </c>
      <c r="AC173" s="2">
        <f>IF($B173=8,$I173,0)</f>
        <v>0</v>
      </c>
      <c r="AD173" s="2">
        <f>IF($B173=9,$I173,0)</f>
        <v>0</v>
      </c>
    </row>
    <row r="174" spans="1:30" ht="17.100000000000001" customHeight="1" x14ac:dyDescent="0.2">
      <c r="A174" s="132"/>
      <c r="B174" s="104"/>
      <c r="C174" s="143"/>
      <c r="D174" s="143"/>
      <c r="E174" s="144"/>
      <c r="F174" s="142"/>
      <c r="G174" s="130"/>
      <c r="H174" s="91" t="str">
        <f>IF(AND(B174&gt;1,E174&gt;0),SUM(E198:E203)/2000,"")</f>
        <v/>
      </c>
      <c r="I174" s="92" t="str">
        <f t="shared" ref="I174:I180" si="99">IF(AND(B174&gt;1,F174&gt;0),H174/F174,"")</f>
        <v/>
      </c>
      <c r="K174" s="299">
        <v>1</v>
      </c>
      <c r="L174" s="148"/>
      <c r="M174" s="2">
        <f t="shared" ref="M174:M180" si="100">IF($B174=2,$H174,0)</f>
        <v>0</v>
      </c>
      <c r="N174" s="2">
        <f t="shared" ref="N174:N180" si="101">IF($B174=3,$H174,0)</f>
        <v>0</v>
      </c>
      <c r="O174" s="2">
        <f t="shared" ref="O174:O180" si="102">IF($B174=4,$H174,0)</f>
        <v>0</v>
      </c>
      <c r="P174" s="2">
        <f t="shared" ref="P174:P180" si="103">IF($B174=5,$H174,0)</f>
        <v>0</v>
      </c>
      <c r="Q174" s="2">
        <f t="shared" ref="Q174:Q180" si="104">IF($B174=6,$H174,0)</f>
        <v>0</v>
      </c>
      <c r="R174" s="2">
        <f t="shared" ref="R174:R180" si="105">IF($B174=7,$H174,0)</f>
        <v>0</v>
      </c>
      <c r="S174" s="2">
        <f t="shared" ref="S174:S180" si="106">IF($B174=8,$H174,0)</f>
        <v>0</v>
      </c>
      <c r="T174" s="2">
        <f t="shared" ref="T174:T180" si="107">IF($B174=9,$H174,0)</f>
        <v>0</v>
      </c>
      <c r="W174" s="2">
        <f t="shared" ref="W174:W180" si="108">IF($B174=2,$I174,0)</f>
        <v>0</v>
      </c>
      <c r="X174" s="2">
        <f t="shared" ref="X174:X180" si="109">IF($B174=3,$I174,0)</f>
        <v>0</v>
      </c>
      <c r="Y174" s="2">
        <f t="shared" ref="Y174:Y180" si="110">IF($B174=4,$I174,0)</f>
        <v>0</v>
      </c>
      <c r="Z174" s="2">
        <f t="shared" ref="Z174:Z180" si="111">IF($B174=5,$I174,0)</f>
        <v>0</v>
      </c>
      <c r="AA174" s="2">
        <f t="shared" ref="AA174:AA180" si="112">IF($B174=6,$I174,0)</f>
        <v>0</v>
      </c>
      <c r="AB174" s="2">
        <f t="shared" ref="AB174:AB180" si="113">IF($B174=7,$I174,0)</f>
        <v>0</v>
      </c>
      <c r="AC174" s="2">
        <f t="shared" ref="AC174:AC180" si="114">IF($B174=8,$I174,0)</f>
        <v>0</v>
      </c>
      <c r="AD174" s="2">
        <f t="shared" ref="AD174:AD180" si="115">IF($B174=9,$I174,0)</f>
        <v>0</v>
      </c>
    </row>
    <row r="175" spans="1:30" ht="17.100000000000001" customHeight="1" x14ac:dyDescent="0.2">
      <c r="A175" s="132"/>
      <c r="B175" s="104"/>
      <c r="C175" s="143"/>
      <c r="D175" s="143"/>
      <c r="E175" s="144"/>
      <c r="F175" s="142"/>
      <c r="G175" s="130"/>
      <c r="H175" s="91" t="str">
        <f>IF(AND(B175&gt;1,E175&gt;0),SUM(E210:E215)/2000,"")</f>
        <v/>
      </c>
      <c r="I175" s="92" t="str">
        <f t="shared" si="99"/>
        <v/>
      </c>
      <c r="K175" s="299">
        <v>1</v>
      </c>
      <c r="L175" s="148"/>
      <c r="M175" s="2">
        <f t="shared" si="100"/>
        <v>0</v>
      </c>
      <c r="N175" s="2">
        <f t="shared" si="101"/>
        <v>0</v>
      </c>
      <c r="O175" s="2">
        <f t="shared" si="102"/>
        <v>0</v>
      </c>
      <c r="P175" s="2">
        <f t="shared" si="103"/>
        <v>0</v>
      </c>
      <c r="Q175" s="2">
        <f t="shared" si="104"/>
        <v>0</v>
      </c>
      <c r="R175" s="2">
        <f t="shared" si="105"/>
        <v>0</v>
      </c>
      <c r="S175" s="2">
        <f t="shared" si="106"/>
        <v>0</v>
      </c>
      <c r="T175" s="2">
        <f t="shared" si="107"/>
        <v>0</v>
      </c>
      <c r="W175" s="2">
        <f t="shared" si="108"/>
        <v>0</v>
      </c>
      <c r="X175" s="2">
        <f t="shared" si="109"/>
        <v>0</v>
      </c>
      <c r="Y175" s="2">
        <f t="shared" si="110"/>
        <v>0</v>
      </c>
      <c r="Z175" s="2">
        <f t="shared" si="111"/>
        <v>0</v>
      </c>
      <c r="AA175" s="2">
        <f t="shared" si="112"/>
        <v>0</v>
      </c>
      <c r="AB175" s="2">
        <f t="shared" si="113"/>
        <v>0</v>
      </c>
      <c r="AC175" s="2">
        <f t="shared" si="114"/>
        <v>0</v>
      </c>
      <c r="AD175" s="2">
        <f t="shared" si="115"/>
        <v>0</v>
      </c>
    </row>
    <row r="176" spans="1:30" ht="17.100000000000001" customHeight="1" x14ac:dyDescent="0.2">
      <c r="A176" s="132"/>
      <c r="B176" s="104"/>
      <c r="C176" s="143"/>
      <c r="D176" s="143"/>
      <c r="E176" s="144"/>
      <c r="F176" s="142"/>
      <c r="G176" s="130"/>
      <c r="H176" s="91" t="str">
        <f>IF(AND(B176&gt;1,E176&gt;0),SUM(E222:E227)/2000,"")</f>
        <v/>
      </c>
      <c r="I176" s="92" t="str">
        <f t="shared" si="99"/>
        <v/>
      </c>
      <c r="K176" s="299">
        <v>1</v>
      </c>
      <c r="L176" s="148"/>
      <c r="M176" s="2">
        <f t="shared" si="100"/>
        <v>0</v>
      </c>
      <c r="N176" s="2">
        <f t="shared" si="101"/>
        <v>0</v>
      </c>
      <c r="O176" s="2">
        <f t="shared" si="102"/>
        <v>0</v>
      </c>
      <c r="P176" s="2">
        <f t="shared" si="103"/>
        <v>0</v>
      </c>
      <c r="Q176" s="2">
        <f t="shared" si="104"/>
        <v>0</v>
      </c>
      <c r="R176" s="2">
        <f t="shared" si="105"/>
        <v>0</v>
      </c>
      <c r="S176" s="2">
        <f t="shared" si="106"/>
        <v>0</v>
      </c>
      <c r="T176" s="2">
        <f t="shared" si="107"/>
        <v>0</v>
      </c>
      <c r="W176" s="2">
        <f t="shared" si="108"/>
        <v>0</v>
      </c>
      <c r="X176" s="2">
        <f t="shared" si="109"/>
        <v>0</v>
      </c>
      <c r="Y176" s="2">
        <f t="shared" si="110"/>
        <v>0</v>
      </c>
      <c r="Z176" s="2">
        <f t="shared" si="111"/>
        <v>0</v>
      </c>
      <c r="AA176" s="2">
        <f t="shared" si="112"/>
        <v>0</v>
      </c>
      <c r="AB176" s="2">
        <f t="shared" si="113"/>
        <v>0</v>
      </c>
      <c r="AC176" s="2">
        <f t="shared" si="114"/>
        <v>0</v>
      </c>
      <c r="AD176" s="2">
        <f t="shared" si="115"/>
        <v>0</v>
      </c>
    </row>
    <row r="177" spans="1:30" ht="17.100000000000001" customHeight="1" x14ac:dyDescent="0.2">
      <c r="A177" s="132"/>
      <c r="B177" s="104"/>
      <c r="C177" s="143"/>
      <c r="D177" s="143"/>
      <c r="E177" s="144"/>
      <c r="F177" s="142"/>
      <c r="G177" s="130"/>
      <c r="H177" s="91" t="str">
        <f>IF(AND(B177&gt;1,E177&gt;0),SUM(E234:E239)/2000,"")</f>
        <v/>
      </c>
      <c r="I177" s="92" t="str">
        <f t="shared" si="99"/>
        <v/>
      </c>
      <c r="K177" s="299">
        <v>1</v>
      </c>
      <c r="L177" s="148"/>
      <c r="M177" s="2">
        <f t="shared" si="100"/>
        <v>0</v>
      </c>
      <c r="N177" s="2">
        <f t="shared" si="101"/>
        <v>0</v>
      </c>
      <c r="O177" s="2">
        <f t="shared" si="102"/>
        <v>0</v>
      </c>
      <c r="P177" s="2">
        <f t="shared" si="103"/>
        <v>0</v>
      </c>
      <c r="Q177" s="2">
        <f t="shared" si="104"/>
        <v>0</v>
      </c>
      <c r="R177" s="2">
        <f t="shared" si="105"/>
        <v>0</v>
      </c>
      <c r="S177" s="2">
        <f t="shared" si="106"/>
        <v>0</v>
      </c>
      <c r="T177" s="2">
        <f t="shared" si="107"/>
        <v>0</v>
      </c>
      <c r="W177" s="2">
        <f t="shared" si="108"/>
        <v>0</v>
      </c>
      <c r="X177" s="2">
        <f t="shared" si="109"/>
        <v>0</v>
      </c>
      <c r="Y177" s="2">
        <f t="shared" si="110"/>
        <v>0</v>
      </c>
      <c r="Z177" s="2">
        <f t="shared" si="111"/>
        <v>0</v>
      </c>
      <c r="AA177" s="2">
        <f t="shared" si="112"/>
        <v>0</v>
      </c>
      <c r="AB177" s="2">
        <f t="shared" si="113"/>
        <v>0</v>
      </c>
      <c r="AC177" s="2">
        <f t="shared" si="114"/>
        <v>0</v>
      </c>
      <c r="AD177" s="2">
        <f t="shared" si="115"/>
        <v>0</v>
      </c>
    </row>
    <row r="178" spans="1:30" ht="17.100000000000001" customHeight="1" x14ac:dyDescent="0.2">
      <c r="A178" s="132"/>
      <c r="B178" s="104"/>
      <c r="C178" s="143"/>
      <c r="D178" s="143"/>
      <c r="E178" s="144"/>
      <c r="F178" s="142"/>
      <c r="G178" s="130"/>
      <c r="H178" s="91" t="str">
        <f>IF(AND(B178&gt;1,E178&gt;0),SUM(E246:E251)/2000,"")</f>
        <v/>
      </c>
      <c r="I178" s="92" t="str">
        <f t="shared" si="99"/>
        <v/>
      </c>
      <c r="K178" s="299">
        <v>1</v>
      </c>
      <c r="L178" s="148"/>
      <c r="M178" s="2">
        <f t="shared" si="100"/>
        <v>0</v>
      </c>
      <c r="N178" s="2">
        <f t="shared" si="101"/>
        <v>0</v>
      </c>
      <c r="O178" s="2">
        <f t="shared" si="102"/>
        <v>0</v>
      </c>
      <c r="P178" s="2">
        <f t="shared" si="103"/>
        <v>0</v>
      </c>
      <c r="Q178" s="2">
        <f t="shared" si="104"/>
        <v>0</v>
      </c>
      <c r="R178" s="2">
        <f t="shared" si="105"/>
        <v>0</v>
      </c>
      <c r="S178" s="2">
        <f t="shared" si="106"/>
        <v>0</v>
      </c>
      <c r="T178" s="2">
        <f t="shared" si="107"/>
        <v>0</v>
      </c>
      <c r="W178" s="2">
        <f t="shared" si="108"/>
        <v>0</v>
      </c>
      <c r="X178" s="2">
        <f t="shared" si="109"/>
        <v>0</v>
      </c>
      <c r="Y178" s="2">
        <f t="shared" si="110"/>
        <v>0</v>
      </c>
      <c r="Z178" s="2">
        <f t="shared" si="111"/>
        <v>0</v>
      </c>
      <c r="AA178" s="2">
        <f t="shared" si="112"/>
        <v>0</v>
      </c>
      <c r="AB178" s="2">
        <f t="shared" si="113"/>
        <v>0</v>
      </c>
      <c r="AC178" s="2">
        <f t="shared" si="114"/>
        <v>0</v>
      </c>
      <c r="AD178" s="2">
        <f t="shared" si="115"/>
        <v>0</v>
      </c>
    </row>
    <row r="179" spans="1:30" ht="17.100000000000001" customHeight="1" x14ac:dyDescent="0.2">
      <c r="A179" s="132"/>
      <c r="B179" s="104"/>
      <c r="C179" s="143"/>
      <c r="D179" s="143"/>
      <c r="E179" s="144"/>
      <c r="F179" s="142"/>
      <c r="G179" s="130"/>
      <c r="H179" s="91" t="str">
        <f>IF(AND(B179&gt;1,E179&gt;0),SUM(E258:E263)/2000,"")</f>
        <v/>
      </c>
      <c r="I179" s="92" t="str">
        <f t="shared" si="99"/>
        <v/>
      </c>
      <c r="K179" s="299">
        <v>1</v>
      </c>
      <c r="L179" s="148"/>
      <c r="M179" s="2">
        <f t="shared" si="100"/>
        <v>0</v>
      </c>
      <c r="N179" s="2">
        <f t="shared" si="101"/>
        <v>0</v>
      </c>
      <c r="O179" s="2">
        <f t="shared" si="102"/>
        <v>0</v>
      </c>
      <c r="P179" s="2">
        <f t="shared" si="103"/>
        <v>0</v>
      </c>
      <c r="Q179" s="2">
        <f t="shared" si="104"/>
        <v>0</v>
      </c>
      <c r="R179" s="2">
        <f t="shared" si="105"/>
        <v>0</v>
      </c>
      <c r="S179" s="2">
        <f t="shared" si="106"/>
        <v>0</v>
      </c>
      <c r="T179" s="2">
        <f t="shared" si="107"/>
        <v>0</v>
      </c>
      <c r="W179" s="2">
        <f t="shared" si="108"/>
        <v>0</v>
      </c>
      <c r="X179" s="2">
        <f t="shared" si="109"/>
        <v>0</v>
      </c>
      <c r="Y179" s="2">
        <f t="shared" si="110"/>
        <v>0</v>
      </c>
      <c r="Z179" s="2">
        <f t="shared" si="111"/>
        <v>0</v>
      </c>
      <c r="AA179" s="2">
        <f t="shared" si="112"/>
        <v>0</v>
      </c>
      <c r="AB179" s="2">
        <f t="shared" si="113"/>
        <v>0</v>
      </c>
      <c r="AC179" s="2">
        <f t="shared" si="114"/>
        <v>0</v>
      </c>
      <c r="AD179" s="2">
        <f t="shared" si="115"/>
        <v>0</v>
      </c>
    </row>
    <row r="180" spans="1:30" ht="17.100000000000001" customHeight="1" thickBot="1" x14ac:dyDescent="0.25">
      <c r="A180" s="133"/>
      <c r="B180" s="105"/>
      <c r="C180" s="146"/>
      <c r="D180" s="146"/>
      <c r="E180" s="147"/>
      <c r="F180" s="145"/>
      <c r="G180" s="130"/>
      <c r="H180" s="93" t="str">
        <f>IF(AND(B180&gt;1,E180&gt;0),SUM(E270:E275)/2000,"")</f>
        <v/>
      </c>
      <c r="I180" s="94" t="str">
        <f t="shared" si="99"/>
        <v/>
      </c>
      <c r="K180" s="299">
        <v>1</v>
      </c>
      <c r="L180" s="148"/>
      <c r="M180" s="2">
        <f t="shared" si="100"/>
        <v>0</v>
      </c>
      <c r="N180" s="2">
        <f t="shared" si="101"/>
        <v>0</v>
      </c>
      <c r="O180" s="2">
        <f t="shared" si="102"/>
        <v>0</v>
      </c>
      <c r="P180" s="2">
        <f t="shared" si="103"/>
        <v>0</v>
      </c>
      <c r="Q180" s="2">
        <f t="shared" si="104"/>
        <v>0</v>
      </c>
      <c r="R180" s="2">
        <f t="shared" si="105"/>
        <v>0</v>
      </c>
      <c r="S180" s="2">
        <f t="shared" si="106"/>
        <v>0</v>
      </c>
      <c r="T180" s="2">
        <f t="shared" si="107"/>
        <v>0</v>
      </c>
      <c r="W180" s="2">
        <f t="shared" si="108"/>
        <v>0</v>
      </c>
      <c r="X180" s="2">
        <f t="shared" si="109"/>
        <v>0</v>
      </c>
      <c r="Y180" s="2">
        <f t="shared" si="110"/>
        <v>0</v>
      </c>
      <c r="Z180" s="2">
        <f t="shared" si="111"/>
        <v>0</v>
      </c>
      <c r="AA180" s="2">
        <f t="shared" si="112"/>
        <v>0</v>
      </c>
      <c r="AB180" s="2">
        <f t="shared" si="113"/>
        <v>0</v>
      </c>
      <c r="AC180" s="2">
        <f t="shared" si="114"/>
        <v>0</v>
      </c>
      <c r="AD180" s="2">
        <f t="shared" si="115"/>
        <v>0</v>
      </c>
    </row>
    <row r="181" spans="1:30" hidden="1" x14ac:dyDescent="0.2">
      <c r="A181" s="1" t="s">
        <v>104</v>
      </c>
      <c r="K181" s="300"/>
    </row>
    <row r="182" spans="1:30" hidden="1" x14ac:dyDescent="0.2">
      <c r="A182" s="1" t="s">
        <v>85</v>
      </c>
      <c r="B182" s="53">
        <f>D173</f>
        <v>0</v>
      </c>
      <c r="K182" s="300"/>
    </row>
    <row r="183" spans="1:30" hidden="1" x14ac:dyDescent="0.2">
      <c r="A183" s="1" t="s">
        <v>86</v>
      </c>
      <c r="B183" s="53">
        <f>E173</f>
        <v>0</v>
      </c>
      <c r="K183" s="300"/>
    </row>
    <row r="184" spans="1:30" hidden="1" x14ac:dyDescent="0.2">
      <c r="A184" s="1" t="s">
        <v>92</v>
      </c>
      <c r="B184" s="53">
        <f>B182-B183</f>
        <v>0</v>
      </c>
      <c r="K184" s="300"/>
    </row>
    <row r="185" spans="1:30" hidden="1" x14ac:dyDescent="0.2">
      <c r="A185" s="1" t="s">
        <v>87</v>
      </c>
      <c r="B185" s="53">
        <f>C173</f>
        <v>0</v>
      </c>
      <c r="C185" s="16" t="s">
        <v>93</v>
      </c>
      <c r="D185" s="16" t="s">
        <v>94</v>
      </c>
      <c r="E185" s="16" t="s">
        <v>96</v>
      </c>
      <c r="F185" s="16" t="s">
        <v>97</v>
      </c>
      <c r="G185" s="16">
        <v>12.41</v>
      </c>
      <c r="H185" s="16">
        <v>18.78</v>
      </c>
      <c r="I185" s="16">
        <v>20.69</v>
      </c>
      <c r="J185" s="16">
        <v>21.33</v>
      </c>
      <c r="K185" s="301">
        <v>22.56</v>
      </c>
    </row>
    <row r="186" spans="1:30" hidden="1" x14ac:dyDescent="0.2">
      <c r="A186" s="1" t="s">
        <v>88</v>
      </c>
      <c r="B186" s="53">
        <f t="shared" ref="B186:B191" si="116">(B$185/2)^2*PI()*D186</f>
        <v>0</v>
      </c>
      <c r="C186" s="1">
        <f>IF(B$182&lt;20,B$182,20)</f>
        <v>0</v>
      </c>
      <c r="D186" s="1">
        <f>IF(AND(B$183&lt;20,B$183&gt;0),B183,IF(B$183&gt;=20,20,0))</f>
        <v>0</v>
      </c>
      <c r="E186" s="1">
        <f>B186*INDEX(G$184:G$187,K$173)</f>
        <v>0</v>
      </c>
      <c r="F186" s="16" t="s">
        <v>99</v>
      </c>
      <c r="G186" s="16">
        <v>38</v>
      </c>
      <c r="H186" s="16">
        <v>40</v>
      </c>
      <c r="I186" s="16">
        <v>42</v>
      </c>
      <c r="J186" s="16">
        <v>44</v>
      </c>
      <c r="K186" s="301">
        <v>46</v>
      </c>
    </row>
    <row r="187" spans="1:30" hidden="1" x14ac:dyDescent="0.2">
      <c r="A187" s="1" t="s">
        <v>89</v>
      </c>
      <c r="B187" s="53">
        <f t="shared" si="116"/>
        <v>0</v>
      </c>
      <c r="C187" s="1">
        <f>IF(B$182-20&lt;0,0,IF(B$182&lt;40,B$182-20,20))</f>
        <v>0</v>
      </c>
      <c r="D187" s="1">
        <f>IF(AND(B$183&lt;40,B$183&gt;20),B$183-20,IF(B$183&gt;=40,20,0))</f>
        <v>0</v>
      </c>
      <c r="E187" s="1">
        <f>B187*INDEX(H$184:H$187,K$173)</f>
        <v>0</v>
      </c>
      <c r="F187" s="16" t="s">
        <v>98</v>
      </c>
      <c r="G187" s="16">
        <v>28</v>
      </c>
      <c r="H187" s="16">
        <v>30</v>
      </c>
      <c r="I187" s="16">
        <v>32</v>
      </c>
      <c r="J187" s="16">
        <v>34</v>
      </c>
      <c r="K187" s="301">
        <v>36</v>
      </c>
    </row>
    <row r="188" spans="1:30" hidden="1" x14ac:dyDescent="0.2">
      <c r="A188" s="1" t="s">
        <v>90</v>
      </c>
      <c r="B188" s="53">
        <f t="shared" si="116"/>
        <v>0</v>
      </c>
      <c r="C188" s="1">
        <f>IF(B$182-40&lt;0,0,IF(B$182&lt;60,B$182-40,20))</f>
        <v>0</v>
      </c>
      <c r="D188" s="1">
        <f>IF(AND(B$183&lt;60,B$183&gt;40),B$183-40,IF(B$183&gt;=60,20,0))</f>
        <v>0</v>
      </c>
      <c r="E188" s="1">
        <f>B188*INDEX(I$184:I$187,K$173)</f>
        <v>0</v>
      </c>
      <c r="G188" s="2"/>
      <c r="K188" s="300"/>
    </row>
    <row r="189" spans="1:30" hidden="1" x14ac:dyDescent="0.2">
      <c r="A189" s="1" t="s">
        <v>91</v>
      </c>
      <c r="B189" s="53">
        <f t="shared" si="116"/>
        <v>0</v>
      </c>
      <c r="C189" s="1">
        <f>IF(B$182-60&lt;0,0,IF(B$182&lt;80,B$182-60,20))</f>
        <v>0</v>
      </c>
      <c r="D189" s="1">
        <f>IF(AND(B$183&lt;80,B$183&gt;60),B$183-60,IF(B$183&gt;=80,20,0))</f>
        <v>0</v>
      </c>
      <c r="E189" s="1">
        <f>B189*INDEX(J$184:J$187,K$173)</f>
        <v>0</v>
      </c>
      <c r="G189" s="2"/>
      <c r="K189" s="300"/>
    </row>
    <row r="190" spans="1:30" hidden="1" x14ac:dyDescent="0.2">
      <c r="A190" s="1" t="s">
        <v>95</v>
      </c>
      <c r="B190" s="53">
        <f t="shared" si="116"/>
        <v>0</v>
      </c>
      <c r="C190" s="1">
        <f>IF(B$182-80&lt;0,0,IF(B$182&lt;100,B$182-80,20))</f>
        <v>0</v>
      </c>
      <c r="D190" s="1">
        <f>IF(AND(B$183&lt;100,B$183&gt;80),B$183-80,IF(B$183&gt;=100,20,0))</f>
        <v>0</v>
      </c>
      <c r="E190" s="1">
        <f>B190*INDEX(K$184:K$187,K$173)</f>
        <v>0</v>
      </c>
      <c r="G190" s="2"/>
      <c r="K190" s="300"/>
    </row>
    <row r="191" spans="1:30" hidden="1" x14ac:dyDescent="0.2">
      <c r="A191" s="1" t="s">
        <v>263</v>
      </c>
      <c r="B191" s="53">
        <f t="shared" si="116"/>
        <v>0</v>
      </c>
      <c r="C191" s="1">
        <f>IF(B$182-100&lt;0,0,IF(B$182&lt;120,B$182-100,20))</f>
        <v>0</v>
      </c>
      <c r="D191" s="1">
        <f>IF(AND(B$183&lt;120,B$183&gt;100),B$183-100,IF(B$183&gt;=120,20,0))</f>
        <v>0</v>
      </c>
      <c r="E191" s="1">
        <f>B191*INDEX(K$184:K$187,K$173)</f>
        <v>0</v>
      </c>
      <c r="G191" s="297"/>
      <c r="J191" s="297"/>
      <c r="K191" s="300"/>
      <c r="L191" s="297"/>
      <c r="M191" s="297"/>
      <c r="N191" s="297"/>
      <c r="O191" s="297"/>
      <c r="P191" s="297"/>
      <c r="Q191" s="297"/>
      <c r="R191" s="297"/>
      <c r="S191" s="297"/>
      <c r="T191" s="297"/>
      <c r="U191" s="297"/>
      <c r="V191" s="297"/>
    </row>
    <row r="192" spans="1:30" hidden="1" x14ac:dyDescent="0.2">
      <c r="K192" s="300"/>
    </row>
    <row r="193" spans="1:22" hidden="1" x14ac:dyDescent="0.2">
      <c r="A193" s="1" t="s">
        <v>106</v>
      </c>
      <c r="K193" s="300"/>
    </row>
    <row r="194" spans="1:22" hidden="1" x14ac:dyDescent="0.2">
      <c r="A194" s="1" t="s">
        <v>85</v>
      </c>
      <c r="B194" s="53">
        <f>D174</f>
        <v>0</v>
      </c>
      <c r="K194" s="300"/>
    </row>
    <row r="195" spans="1:22" hidden="1" x14ac:dyDescent="0.2">
      <c r="A195" s="1" t="s">
        <v>86</v>
      </c>
      <c r="B195" s="53">
        <f>E174</f>
        <v>0</v>
      </c>
      <c r="K195" s="300"/>
    </row>
    <row r="196" spans="1:22" hidden="1" x14ac:dyDescent="0.2">
      <c r="A196" s="1" t="s">
        <v>92</v>
      </c>
      <c r="B196" s="53">
        <f>B194-B195</f>
        <v>0</v>
      </c>
      <c r="K196" s="300"/>
    </row>
    <row r="197" spans="1:22" hidden="1" x14ac:dyDescent="0.2">
      <c r="A197" s="1" t="s">
        <v>87</v>
      </c>
      <c r="B197" s="53">
        <f>C174</f>
        <v>0</v>
      </c>
      <c r="C197" s="16" t="s">
        <v>93</v>
      </c>
      <c r="D197" s="16" t="s">
        <v>94</v>
      </c>
      <c r="E197" s="16" t="s">
        <v>96</v>
      </c>
      <c r="K197" s="300"/>
    </row>
    <row r="198" spans="1:22" hidden="1" x14ac:dyDescent="0.2">
      <c r="A198" s="1" t="s">
        <v>88</v>
      </c>
      <c r="B198" s="53">
        <f>(B197/2)^2*PI()*D198</f>
        <v>0</v>
      </c>
      <c r="C198" s="1">
        <f>IF(B194&lt;20,B194,20)</f>
        <v>0</v>
      </c>
      <c r="D198" s="1">
        <f>IF(AND(B195&lt;20,B195&gt;0),B195,IF(B195&gt;=20,20,0))</f>
        <v>0</v>
      </c>
      <c r="E198" s="1">
        <f>B198*INDEX(G$184:G$187,K$174)</f>
        <v>0</v>
      </c>
      <c r="K198" s="300"/>
    </row>
    <row r="199" spans="1:22" hidden="1" x14ac:dyDescent="0.2">
      <c r="A199" s="1" t="s">
        <v>89</v>
      </c>
      <c r="B199" s="53">
        <f>(B197/2)^2*PI()*D199</f>
        <v>0</v>
      </c>
      <c r="C199" s="1">
        <f>IF(B194-20&lt;0,0,IF(B194&lt;40,B194-20,20))</f>
        <v>0</v>
      </c>
      <c r="D199" s="1">
        <f>IF(AND(B195&lt;40,B195&gt;20),B195-20,IF(B195&gt;=40,20,0))</f>
        <v>0</v>
      </c>
      <c r="E199" s="1">
        <f>B199*INDEX(H$184:H$187,K$174)</f>
        <v>0</v>
      </c>
      <c r="K199" s="300"/>
    </row>
    <row r="200" spans="1:22" hidden="1" x14ac:dyDescent="0.2">
      <c r="A200" s="1" t="s">
        <v>90</v>
      </c>
      <c r="B200" s="53">
        <f>(B197/2)^2*PI()*D200</f>
        <v>0</v>
      </c>
      <c r="C200" s="1">
        <f>IF(B194-40&lt;0,0,IF(B194&lt;60,B194-40,20))</f>
        <v>0</v>
      </c>
      <c r="D200" s="1">
        <f>IF(AND(B195&lt;60,B195&gt;40),B195-40,IF(B195&gt;=60,20,0))</f>
        <v>0</v>
      </c>
      <c r="E200" s="1">
        <f>B200*INDEX(I$184:I$187,K$174)</f>
        <v>0</v>
      </c>
      <c r="K200" s="300"/>
    </row>
    <row r="201" spans="1:22" hidden="1" x14ac:dyDescent="0.2">
      <c r="A201" s="1" t="s">
        <v>91</v>
      </c>
      <c r="B201" s="53">
        <f>(B197/2)^2*PI()*D201</f>
        <v>0</v>
      </c>
      <c r="C201" s="1">
        <f>IF(B194-60&lt;0,0,IF(B194&lt;80,B194-60,20))</f>
        <v>0</v>
      </c>
      <c r="D201" s="1">
        <f>IF(AND(B195&lt;80,B195&gt;60),B195-60,IF(B195&gt;=80,20,0))</f>
        <v>0</v>
      </c>
      <c r="E201" s="1">
        <f>B201*INDEX(J$184:J$187,K$174)</f>
        <v>0</v>
      </c>
      <c r="K201" s="300"/>
    </row>
    <row r="202" spans="1:22" hidden="1" x14ac:dyDescent="0.2">
      <c r="A202" s="1" t="s">
        <v>95</v>
      </c>
      <c r="B202" s="53">
        <f>(B197/2)^2*PI()*D202</f>
        <v>0</v>
      </c>
      <c r="C202" s="1">
        <f>IF(B194-80&lt;0,0,IF(B194&lt;100,B194-80,20))</f>
        <v>0</v>
      </c>
      <c r="D202" s="1">
        <f>IF(AND(B195&lt;100,B195&gt;80),B195-80,IF(B195&gt;=100,20,0))</f>
        <v>0</v>
      </c>
      <c r="E202" s="1">
        <f>B202*INDEX(K$184:K$187,K$174)</f>
        <v>0</v>
      </c>
      <c r="K202" s="300"/>
    </row>
    <row r="203" spans="1:22" hidden="1" x14ac:dyDescent="0.2">
      <c r="A203" s="1" t="s">
        <v>263</v>
      </c>
      <c r="B203" s="53">
        <f>(B197/2)^2*PI()*D203</f>
        <v>0</v>
      </c>
      <c r="C203" s="1">
        <f>IF(B$194-100&lt;0,0,IF(B$194&lt;120,B$194-100,20))</f>
        <v>0</v>
      </c>
      <c r="D203" s="1">
        <f>IF(AND(B$195&lt;120,B$195&gt;100),B$195-100,IF(B$195&gt;=120,20,0))</f>
        <v>0</v>
      </c>
      <c r="E203" s="1">
        <f>B203*INDEX(K$184:K$187,K$174)</f>
        <v>0</v>
      </c>
      <c r="J203" s="297"/>
      <c r="K203" s="300"/>
      <c r="L203" s="297"/>
      <c r="M203" s="297"/>
      <c r="N203" s="297"/>
      <c r="O203" s="297"/>
      <c r="P203" s="297"/>
      <c r="Q203" s="297"/>
      <c r="R203" s="297"/>
      <c r="S203" s="297"/>
      <c r="T203" s="297"/>
      <c r="U203" s="297"/>
      <c r="V203" s="297"/>
    </row>
    <row r="204" spans="1:22" hidden="1" x14ac:dyDescent="0.2">
      <c r="K204" s="300"/>
    </row>
    <row r="205" spans="1:22" hidden="1" x14ac:dyDescent="0.2">
      <c r="A205" s="1" t="s">
        <v>107</v>
      </c>
      <c r="K205" s="300"/>
    </row>
    <row r="206" spans="1:22" hidden="1" x14ac:dyDescent="0.2">
      <c r="A206" s="1" t="s">
        <v>85</v>
      </c>
      <c r="B206" s="53">
        <f>D175</f>
        <v>0</v>
      </c>
      <c r="K206" s="300"/>
    </row>
    <row r="207" spans="1:22" hidden="1" x14ac:dyDescent="0.2">
      <c r="A207" s="1" t="s">
        <v>86</v>
      </c>
      <c r="B207" s="53">
        <f>E175</f>
        <v>0</v>
      </c>
      <c r="K207" s="300"/>
    </row>
    <row r="208" spans="1:22" hidden="1" x14ac:dyDescent="0.2">
      <c r="A208" s="1" t="s">
        <v>92</v>
      </c>
      <c r="B208" s="53">
        <f>B206-B207</f>
        <v>0</v>
      </c>
      <c r="K208" s="300"/>
    </row>
    <row r="209" spans="1:22" hidden="1" x14ac:dyDescent="0.2">
      <c r="A209" s="1" t="s">
        <v>87</v>
      </c>
      <c r="B209" s="53">
        <f>C175</f>
        <v>0</v>
      </c>
      <c r="C209" s="16" t="s">
        <v>93</v>
      </c>
      <c r="D209" s="16" t="s">
        <v>94</v>
      </c>
      <c r="E209" s="16" t="s">
        <v>96</v>
      </c>
      <c r="K209" s="300"/>
    </row>
    <row r="210" spans="1:22" hidden="1" x14ac:dyDescent="0.2">
      <c r="A210" s="1" t="s">
        <v>88</v>
      </c>
      <c r="B210" s="53">
        <f>(B209/2)^2*PI()*D210</f>
        <v>0</v>
      </c>
      <c r="C210" s="1">
        <f>IF(B206&lt;20,B206,20)</f>
        <v>0</v>
      </c>
      <c r="D210" s="1">
        <f>IF(AND(B207&lt;20,B207&gt;0),B207,IF(B207&gt;=20,20,0))</f>
        <v>0</v>
      </c>
      <c r="E210" s="1">
        <f>B210*INDEX(G$184:G$187,K$175)</f>
        <v>0</v>
      </c>
      <c r="K210" s="300"/>
    </row>
    <row r="211" spans="1:22" hidden="1" x14ac:dyDescent="0.2">
      <c r="A211" s="1" t="s">
        <v>89</v>
      </c>
      <c r="B211" s="53">
        <f>(B209/2)^2*PI()*D211</f>
        <v>0</v>
      </c>
      <c r="C211" s="1">
        <f>IF(B206-20&lt;0,0,IF(B206&lt;40,B206-20,20))</f>
        <v>0</v>
      </c>
      <c r="D211" s="1">
        <f>IF(AND(B207&lt;40,B207&gt;20),B207-20,IF(B207&gt;=40,20,0))</f>
        <v>0</v>
      </c>
      <c r="E211" s="1">
        <f>B211*INDEX(H$184:H$187,K$175)</f>
        <v>0</v>
      </c>
      <c r="K211" s="300"/>
    </row>
    <row r="212" spans="1:22" hidden="1" x14ac:dyDescent="0.2">
      <c r="A212" s="1" t="s">
        <v>90</v>
      </c>
      <c r="B212" s="53">
        <f>(B209/2)^2*PI()*D212</f>
        <v>0</v>
      </c>
      <c r="C212" s="1">
        <f>IF(B206-40&lt;0,0,IF(B206&lt;60,B206-40,20))</f>
        <v>0</v>
      </c>
      <c r="D212" s="1">
        <f>IF(AND(B207&lt;60,B207&gt;40),B207-40,IF(B207&gt;=60,20,0))</f>
        <v>0</v>
      </c>
      <c r="E212" s="1">
        <f>B212*INDEX(I$184:I$187,K$175)</f>
        <v>0</v>
      </c>
      <c r="K212" s="300"/>
    </row>
    <row r="213" spans="1:22" hidden="1" x14ac:dyDescent="0.2">
      <c r="A213" s="1" t="s">
        <v>91</v>
      </c>
      <c r="B213" s="53">
        <f>(B209/2)^2*PI()*D213</f>
        <v>0</v>
      </c>
      <c r="C213" s="1">
        <f>IF(B206-60&lt;0,0,IF(B206&lt;80,B206-60,20))</f>
        <v>0</v>
      </c>
      <c r="D213" s="1">
        <f>IF(AND(B207&lt;80,B207&gt;60),B207-60,IF(B207&gt;=80,20,0))</f>
        <v>0</v>
      </c>
      <c r="E213" s="1">
        <f>B213*INDEX(J$184:J$187,K$175)</f>
        <v>0</v>
      </c>
      <c r="K213" s="300"/>
    </row>
    <row r="214" spans="1:22" hidden="1" x14ac:dyDescent="0.2">
      <c r="A214" s="1" t="s">
        <v>95</v>
      </c>
      <c r="B214" s="53">
        <f>(B209/2)^2*PI()*D214</f>
        <v>0</v>
      </c>
      <c r="C214" s="1">
        <f>IF(B206-80&lt;0,0,IF(B206&lt;100,B206-80,20))</f>
        <v>0</v>
      </c>
      <c r="D214" s="1">
        <f>IF(AND(B207&lt;100,B207&gt;80),B207-80,IF(B207&gt;=100,20,0))</f>
        <v>0</v>
      </c>
      <c r="E214" s="1">
        <f>B214*INDEX(K$184:K$187,K$175)</f>
        <v>0</v>
      </c>
      <c r="K214" s="300"/>
    </row>
    <row r="215" spans="1:22" hidden="1" x14ac:dyDescent="0.2">
      <c r="A215" s="1" t="s">
        <v>263</v>
      </c>
      <c r="B215" s="53">
        <f>(B209/2)^2*PI()*D215</f>
        <v>0</v>
      </c>
      <c r="C215" s="1">
        <f>IF(B$206-100&lt;0,0,IF(B$206&lt;120,B$206-100,20))</f>
        <v>0</v>
      </c>
      <c r="D215" s="1">
        <f>IF(AND(B$207&lt;120,B$207&gt;100),B$207-100,IF(B$207&gt;=120,20,0))</f>
        <v>0</v>
      </c>
      <c r="E215" s="1">
        <f>B215*INDEX(K$184:K$187,K$175)</f>
        <v>0</v>
      </c>
      <c r="J215" s="297"/>
      <c r="K215" s="300"/>
      <c r="L215" s="297"/>
      <c r="M215" s="297"/>
      <c r="N215" s="297"/>
      <c r="O215" s="297"/>
      <c r="P215" s="297"/>
      <c r="Q215" s="297"/>
      <c r="R215" s="297"/>
      <c r="S215" s="297"/>
      <c r="T215" s="297"/>
      <c r="U215" s="297"/>
      <c r="V215" s="297"/>
    </row>
    <row r="216" spans="1:22" hidden="1" x14ac:dyDescent="0.2">
      <c r="K216" s="300"/>
    </row>
    <row r="217" spans="1:22" hidden="1" x14ac:dyDescent="0.2">
      <c r="A217" s="1" t="s">
        <v>108</v>
      </c>
      <c r="K217" s="300"/>
    </row>
    <row r="218" spans="1:22" hidden="1" x14ac:dyDescent="0.2">
      <c r="A218" s="1" t="s">
        <v>85</v>
      </c>
      <c r="B218" s="53">
        <f>D176</f>
        <v>0</v>
      </c>
      <c r="K218" s="300"/>
    </row>
    <row r="219" spans="1:22" hidden="1" x14ac:dyDescent="0.2">
      <c r="A219" s="1" t="s">
        <v>86</v>
      </c>
      <c r="B219" s="53">
        <f>E176</f>
        <v>0</v>
      </c>
      <c r="K219" s="300"/>
    </row>
    <row r="220" spans="1:22" hidden="1" x14ac:dyDescent="0.2">
      <c r="A220" s="1" t="s">
        <v>92</v>
      </c>
      <c r="B220" s="53">
        <f>B218-B219</f>
        <v>0</v>
      </c>
      <c r="K220" s="300"/>
    </row>
    <row r="221" spans="1:22" hidden="1" x14ac:dyDescent="0.2">
      <c r="A221" s="1" t="s">
        <v>87</v>
      </c>
      <c r="B221" s="53">
        <f>C176</f>
        <v>0</v>
      </c>
      <c r="C221" s="16" t="s">
        <v>93</v>
      </c>
      <c r="D221" s="16" t="s">
        <v>94</v>
      </c>
      <c r="E221" s="16" t="s">
        <v>96</v>
      </c>
      <c r="K221" s="300"/>
    </row>
    <row r="222" spans="1:22" hidden="1" x14ac:dyDescent="0.2">
      <c r="A222" s="1" t="s">
        <v>88</v>
      </c>
      <c r="B222" s="53">
        <f>(B221/2)^2*PI()*D222</f>
        <v>0</v>
      </c>
      <c r="C222" s="1">
        <f>IF(B218&lt;20,B218,20)</f>
        <v>0</v>
      </c>
      <c r="D222" s="1">
        <f>IF(AND(B219&lt;20,B219&gt;0),B219,IF(B219&gt;=20,20,0))</f>
        <v>0</v>
      </c>
      <c r="E222" s="1">
        <f>B222*INDEX(G$184:G$187,K$176)</f>
        <v>0</v>
      </c>
      <c r="K222" s="300"/>
    </row>
    <row r="223" spans="1:22" hidden="1" x14ac:dyDescent="0.2">
      <c r="A223" s="1" t="s">
        <v>89</v>
      </c>
      <c r="B223" s="53">
        <f>(B221/2)^2*PI()*D223</f>
        <v>0</v>
      </c>
      <c r="C223" s="1">
        <f>IF(B218-20&lt;0,0,IF(B218&lt;40,B218-20,20))</f>
        <v>0</v>
      </c>
      <c r="D223" s="1">
        <f>IF(AND(B219&lt;40,B219&gt;20),B219-20,IF(B219&gt;=40,20,0))</f>
        <v>0</v>
      </c>
      <c r="E223" s="1">
        <f>B223*INDEX(H$184:H$187,K$176)</f>
        <v>0</v>
      </c>
      <c r="K223" s="300"/>
    </row>
    <row r="224" spans="1:22" hidden="1" x14ac:dyDescent="0.2">
      <c r="A224" s="1" t="s">
        <v>90</v>
      </c>
      <c r="B224" s="53">
        <f>(B221/2)^2*PI()*D224</f>
        <v>0</v>
      </c>
      <c r="C224" s="1">
        <f>IF(B218-40&lt;0,0,IF(B218&lt;60,B218-40,20))</f>
        <v>0</v>
      </c>
      <c r="D224" s="1">
        <f>IF(AND(B219&lt;60,B219&gt;40),B219-40,IF(B219&gt;=60,20,0))</f>
        <v>0</v>
      </c>
      <c r="E224" s="1">
        <f>B224*INDEX(I$184:I$187,K$176)</f>
        <v>0</v>
      </c>
      <c r="K224" s="300"/>
    </row>
    <row r="225" spans="1:22" hidden="1" x14ac:dyDescent="0.2">
      <c r="A225" s="1" t="s">
        <v>91</v>
      </c>
      <c r="B225" s="53">
        <f>(B221/2)^2*PI()*D225</f>
        <v>0</v>
      </c>
      <c r="C225" s="1">
        <f>IF(B218-60&lt;0,0,IF(B218&lt;80,B218-60,20))</f>
        <v>0</v>
      </c>
      <c r="D225" s="1">
        <f>IF(AND(B219&lt;80,B219&gt;60),B219-60,IF(B219&gt;=80,20,0))</f>
        <v>0</v>
      </c>
      <c r="E225" s="1">
        <f>B225*INDEX(J$184:J$187,K$176)</f>
        <v>0</v>
      </c>
      <c r="K225" s="300"/>
    </row>
    <row r="226" spans="1:22" hidden="1" x14ac:dyDescent="0.2">
      <c r="A226" s="1" t="s">
        <v>95</v>
      </c>
      <c r="B226" s="53">
        <f>(B221/2)^2*PI()*D226</f>
        <v>0</v>
      </c>
      <c r="C226" s="1">
        <f>IF(B218-80&lt;0,0,IF(B218&lt;100,B218-80,20))</f>
        <v>0</v>
      </c>
      <c r="D226" s="1">
        <f>IF(AND(B219&lt;100,B219&gt;80),B219-80,IF(B219&gt;=100,20,0))</f>
        <v>0</v>
      </c>
      <c r="E226" s="1">
        <f>B226*INDEX(K$184:K$187,K$176)</f>
        <v>0</v>
      </c>
      <c r="K226" s="300"/>
    </row>
    <row r="227" spans="1:22" hidden="1" x14ac:dyDescent="0.2">
      <c r="A227" s="1" t="s">
        <v>263</v>
      </c>
      <c r="B227" s="53">
        <f>(B221/2)^2*PI()*D227</f>
        <v>0</v>
      </c>
      <c r="C227" s="1">
        <f>IF(B$218-100&lt;0,0,IF(B$218&lt;120,B$218-100,20))</f>
        <v>0</v>
      </c>
      <c r="D227" s="1">
        <f>IF(AND(B$219&lt;120,B$219&gt;100),B$219-100,IF(B$219&gt;=120,20,0))</f>
        <v>0</v>
      </c>
      <c r="E227" s="1">
        <f>B227*INDEX(K$184:K$187,K$176)</f>
        <v>0</v>
      </c>
      <c r="J227" s="297"/>
      <c r="K227" s="300"/>
      <c r="L227" s="297"/>
      <c r="M227" s="297"/>
      <c r="N227" s="297"/>
      <c r="O227" s="297"/>
      <c r="P227" s="297"/>
      <c r="Q227" s="297"/>
      <c r="R227" s="297"/>
      <c r="S227" s="297"/>
      <c r="T227" s="297"/>
      <c r="U227" s="297"/>
      <c r="V227" s="297"/>
    </row>
    <row r="228" spans="1:22" hidden="1" x14ac:dyDescent="0.2">
      <c r="K228" s="300"/>
    </row>
    <row r="229" spans="1:22" hidden="1" x14ac:dyDescent="0.2">
      <c r="A229" s="1" t="s">
        <v>109</v>
      </c>
      <c r="K229" s="300"/>
    </row>
    <row r="230" spans="1:22" hidden="1" x14ac:dyDescent="0.2">
      <c r="A230" s="1" t="s">
        <v>85</v>
      </c>
      <c r="B230" s="53">
        <f>D177</f>
        <v>0</v>
      </c>
      <c r="K230" s="300"/>
    </row>
    <row r="231" spans="1:22" hidden="1" x14ac:dyDescent="0.2">
      <c r="A231" s="1" t="s">
        <v>86</v>
      </c>
      <c r="B231" s="53">
        <f>E177</f>
        <v>0</v>
      </c>
      <c r="K231" s="300"/>
    </row>
    <row r="232" spans="1:22" hidden="1" x14ac:dyDescent="0.2">
      <c r="A232" s="1" t="s">
        <v>92</v>
      </c>
      <c r="B232" s="53">
        <f>B230-B231</f>
        <v>0</v>
      </c>
      <c r="K232" s="300"/>
    </row>
    <row r="233" spans="1:22" hidden="1" x14ac:dyDescent="0.2">
      <c r="A233" s="1" t="s">
        <v>87</v>
      </c>
      <c r="B233" s="53">
        <f>C177</f>
        <v>0</v>
      </c>
      <c r="C233" s="16" t="s">
        <v>93</v>
      </c>
      <c r="D233" s="16" t="s">
        <v>94</v>
      </c>
      <c r="E233" s="16" t="s">
        <v>96</v>
      </c>
      <c r="K233" s="300"/>
    </row>
    <row r="234" spans="1:22" hidden="1" x14ac:dyDescent="0.2">
      <c r="A234" s="1" t="s">
        <v>88</v>
      </c>
      <c r="B234" s="53">
        <f>(B233/2)^2*PI()*D234</f>
        <v>0</v>
      </c>
      <c r="C234" s="1">
        <f>IF(B230&lt;20,B230,20)</f>
        <v>0</v>
      </c>
      <c r="D234" s="1">
        <f>IF(AND(B231&lt;20,B231&gt;0),B231,IF(B231&gt;=20,20,0))</f>
        <v>0</v>
      </c>
      <c r="E234" s="1">
        <f>B234*INDEX(G$184:G$187,K$177)</f>
        <v>0</v>
      </c>
      <c r="K234" s="300"/>
    </row>
    <row r="235" spans="1:22" hidden="1" x14ac:dyDescent="0.2">
      <c r="A235" s="1" t="s">
        <v>89</v>
      </c>
      <c r="B235" s="53">
        <f>(B233/2)^2*PI()*D235</f>
        <v>0</v>
      </c>
      <c r="C235" s="1">
        <f>IF(B230-20&lt;0,0,IF(B230&lt;40,B230-20,20))</f>
        <v>0</v>
      </c>
      <c r="D235" s="1">
        <f>IF(AND(B231&lt;40,B231&gt;20),B231-20,IF(B231&gt;=40,20,0))</f>
        <v>0</v>
      </c>
      <c r="E235" s="1">
        <f>B235*INDEX(H$184:H$187,K$177)</f>
        <v>0</v>
      </c>
      <c r="K235" s="300"/>
    </row>
    <row r="236" spans="1:22" hidden="1" x14ac:dyDescent="0.2">
      <c r="A236" s="1" t="s">
        <v>90</v>
      </c>
      <c r="B236" s="53">
        <f>(B233/2)^2*PI()*D236</f>
        <v>0</v>
      </c>
      <c r="C236" s="1">
        <f>IF(B230-40&lt;0,0,IF(B230&lt;60,B230-40,20))</f>
        <v>0</v>
      </c>
      <c r="D236" s="1">
        <f>IF(AND(B231&lt;60,B231&gt;40),B231-40,IF(B231&gt;=60,20,0))</f>
        <v>0</v>
      </c>
      <c r="E236" s="1">
        <f>B236*INDEX(I$184:I$187,K$177)</f>
        <v>0</v>
      </c>
      <c r="K236" s="300"/>
    </row>
    <row r="237" spans="1:22" hidden="1" x14ac:dyDescent="0.2">
      <c r="A237" s="1" t="s">
        <v>91</v>
      </c>
      <c r="B237" s="53">
        <f>(B233/2)^2*PI()*D237</f>
        <v>0</v>
      </c>
      <c r="C237" s="1">
        <f>IF(B230-60&lt;0,0,IF(B230&lt;80,B230-60,20))</f>
        <v>0</v>
      </c>
      <c r="D237" s="1">
        <f>IF(AND(B231&lt;80,B231&gt;60),B231-60,IF(B231&gt;=80,20,0))</f>
        <v>0</v>
      </c>
      <c r="E237" s="1">
        <f>B237*INDEX(J$184:J$187,K$177)</f>
        <v>0</v>
      </c>
      <c r="K237" s="300"/>
    </row>
    <row r="238" spans="1:22" hidden="1" x14ac:dyDescent="0.2">
      <c r="A238" s="1" t="s">
        <v>95</v>
      </c>
      <c r="B238" s="53">
        <f>(B233/2)^2*PI()*D238</f>
        <v>0</v>
      </c>
      <c r="C238" s="1">
        <f>IF(B230-80&lt;0,0,IF(B230&lt;100,B230-80,20))</f>
        <v>0</v>
      </c>
      <c r="D238" s="1">
        <f>IF(AND(B231&lt;100,B231&gt;80),B231-80,IF(B231&gt;=100,20,0))</f>
        <v>0</v>
      </c>
      <c r="E238" s="1">
        <f>B238*INDEX(K$184:K$187,K$177)</f>
        <v>0</v>
      </c>
      <c r="K238" s="300"/>
    </row>
    <row r="239" spans="1:22" hidden="1" x14ac:dyDescent="0.2">
      <c r="A239" s="1" t="s">
        <v>263</v>
      </c>
      <c r="B239" s="53">
        <f>(B233/2)^2*PI()*D239</f>
        <v>0</v>
      </c>
      <c r="C239" s="1">
        <f>IF(B$230-100&lt;0,0,IF(B$230&lt;120,B$230-100,20))</f>
        <v>0</v>
      </c>
      <c r="D239" s="1">
        <f>IF(AND(B$231&lt;120,B$231&gt;100),B$231-100,IF(B$231&gt;=120,20,0))</f>
        <v>0</v>
      </c>
      <c r="E239" s="1">
        <f>B239*INDEX(K$184:K$187,K$177)</f>
        <v>0</v>
      </c>
      <c r="J239" s="297"/>
      <c r="K239" s="300"/>
      <c r="L239" s="297"/>
      <c r="M239" s="297"/>
      <c r="N239" s="297"/>
      <c r="O239" s="297"/>
      <c r="P239" s="297"/>
      <c r="Q239" s="297"/>
      <c r="R239" s="297"/>
      <c r="S239" s="297"/>
      <c r="T239" s="297"/>
      <c r="U239" s="297"/>
      <c r="V239" s="297"/>
    </row>
    <row r="240" spans="1:22" hidden="1" x14ac:dyDescent="0.2">
      <c r="K240" s="300"/>
    </row>
    <row r="241" spans="1:22" hidden="1" x14ac:dyDescent="0.2">
      <c r="A241" s="1" t="s">
        <v>110</v>
      </c>
      <c r="K241" s="300"/>
    </row>
    <row r="242" spans="1:22" hidden="1" x14ac:dyDescent="0.2">
      <c r="A242" s="1" t="s">
        <v>85</v>
      </c>
      <c r="B242" s="53">
        <f>D178</f>
        <v>0</v>
      </c>
      <c r="K242" s="300"/>
    </row>
    <row r="243" spans="1:22" hidden="1" x14ac:dyDescent="0.2">
      <c r="A243" s="1" t="s">
        <v>86</v>
      </c>
      <c r="B243" s="53">
        <f>E178</f>
        <v>0</v>
      </c>
      <c r="K243" s="300"/>
    </row>
    <row r="244" spans="1:22" hidden="1" x14ac:dyDescent="0.2">
      <c r="A244" s="1" t="s">
        <v>92</v>
      </c>
      <c r="B244" s="53">
        <f>B242-B243</f>
        <v>0</v>
      </c>
      <c r="K244" s="300"/>
    </row>
    <row r="245" spans="1:22" hidden="1" x14ac:dyDescent="0.2">
      <c r="A245" s="1" t="s">
        <v>87</v>
      </c>
      <c r="B245" s="53">
        <f>C178</f>
        <v>0</v>
      </c>
      <c r="C245" s="16" t="s">
        <v>93</v>
      </c>
      <c r="D245" s="16" t="s">
        <v>94</v>
      </c>
      <c r="E245" s="16" t="s">
        <v>96</v>
      </c>
      <c r="K245" s="300"/>
    </row>
    <row r="246" spans="1:22" hidden="1" x14ac:dyDescent="0.2">
      <c r="A246" s="1" t="s">
        <v>88</v>
      </c>
      <c r="B246" s="53">
        <f>(B245/2)^2*PI()*D246</f>
        <v>0</v>
      </c>
      <c r="C246" s="1">
        <f>IF(B242&lt;20,B242,20)</f>
        <v>0</v>
      </c>
      <c r="D246" s="1">
        <f>IF(AND(B243&lt;20,B243&gt;0),B243,IF(B243&gt;=20,20,0))</f>
        <v>0</v>
      </c>
      <c r="E246" s="1">
        <f>B246*INDEX(G$184:G$187,K$178)</f>
        <v>0</v>
      </c>
      <c r="K246" s="300"/>
    </row>
    <row r="247" spans="1:22" hidden="1" x14ac:dyDescent="0.2">
      <c r="A247" s="1" t="s">
        <v>89</v>
      </c>
      <c r="B247" s="53">
        <f>(B245/2)^2*PI()*D247</f>
        <v>0</v>
      </c>
      <c r="C247" s="1">
        <f>IF(B242-20&lt;0,0,IF(B242&lt;40,B242-20,20))</f>
        <v>0</v>
      </c>
      <c r="D247" s="1">
        <f>IF(AND(B243&lt;40,B243&gt;20),B243-20,IF(B243&gt;=40,20,0))</f>
        <v>0</v>
      </c>
      <c r="E247" s="1">
        <f>B247*INDEX(H$184:H$187,K$178)</f>
        <v>0</v>
      </c>
      <c r="K247" s="300"/>
    </row>
    <row r="248" spans="1:22" hidden="1" x14ac:dyDescent="0.2">
      <c r="A248" s="1" t="s">
        <v>90</v>
      </c>
      <c r="B248" s="53">
        <f>(B245/2)^2*PI()*D248</f>
        <v>0</v>
      </c>
      <c r="C248" s="1">
        <f>IF(B242-40&lt;0,0,IF(B242&lt;60,B242-40,20))</f>
        <v>0</v>
      </c>
      <c r="D248" s="1">
        <f>IF(AND(B243&lt;60,B243&gt;40),B243-40,IF(B243&gt;=60,20,0))</f>
        <v>0</v>
      </c>
      <c r="E248" s="1">
        <f>B248*INDEX(I$184:I$187,K$178)</f>
        <v>0</v>
      </c>
      <c r="K248" s="300"/>
    </row>
    <row r="249" spans="1:22" hidden="1" x14ac:dyDescent="0.2">
      <c r="A249" s="1" t="s">
        <v>91</v>
      </c>
      <c r="B249" s="53">
        <f>(B245/2)^2*PI()*D249</f>
        <v>0</v>
      </c>
      <c r="C249" s="1">
        <f>IF(B242-60&lt;0,0,IF(B242&lt;80,B242-60,20))</f>
        <v>0</v>
      </c>
      <c r="D249" s="1">
        <f>IF(AND(B243&lt;80,B243&gt;60),B243-60,IF(B243&gt;=80,20,0))</f>
        <v>0</v>
      </c>
      <c r="E249" s="1">
        <f>B249*INDEX(J$184:J$187,K$178)</f>
        <v>0</v>
      </c>
      <c r="K249" s="300"/>
    </row>
    <row r="250" spans="1:22" hidden="1" x14ac:dyDescent="0.2">
      <c r="A250" s="1" t="s">
        <v>95</v>
      </c>
      <c r="B250" s="53">
        <f>(B245/2)^2*PI()*D250</f>
        <v>0</v>
      </c>
      <c r="C250" s="1">
        <f>IF(B242-80&lt;0,0,IF(B242&lt;100,B242-80,20))</f>
        <v>0</v>
      </c>
      <c r="D250" s="1">
        <f>IF(AND(B243&lt;100,B243&gt;80),B243-80,IF(B243&gt;=100,20,0))</f>
        <v>0</v>
      </c>
      <c r="E250" s="1">
        <f>B250*INDEX(K$184:K$187,K$178)</f>
        <v>0</v>
      </c>
      <c r="K250" s="300"/>
    </row>
    <row r="251" spans="1:22" hidden="1" x14ac:dyDescent="0.2">
      <c r="A251" s="1" t="s">
        <v>263</v>
      </c>
      <c r="B251" s="53">
        <f>(B245/2)^2*PI()*D251</f>
        <v>0</v>
      </c>
      <c r="C251" s="1">
        <f>IF(B$242-100&lt;0,0,IF(B$242&lt;120,B$242-100,20))</f>
        <v>0</v>
      </c>
      <c r="D251" s="1">
        <f>IF(AND(B$243&lt;120,B$243&gt;100),B$243-100,IF(B$243&gt;=120,20,0))</f>
        <v>0</v>
      </c>
      <c r="E251" s="1">
        <f>B251*INDEX(K$184:K$187,K$178)</f>
        <v>0</v>
      </c>
      <c r="J251" s="297"/>
      <c r="K251" s="300"/>
      <c r="L251" s="297"/>
      <c r="M251" s="297"/>
      <c r="N251" s="297"/>
      <c r="O251" s="297"/>
      <c r="P251" s="297"/>
      <c r="Q251" s="297"/>
      <c r="R251" s="297"/>
      <c r="S251" s="297"/>
      <c r="T251" s="297"/>
      <c r="U251" s="297"/>
      <c r="V251" s="297"/>
    </row>
    <row r="252" spans="1:22" hidden="1" x14ac:dyDescent="0.2">
      <c r="K252" s="300"/>
    </row>
    <row r="253" spans="1:22" hidden="1" x14ac:dyDescent="0.2">
      <c r="A253" s="1" t="s">
        <v>111</v>
      </c>
      <c r="K253" s="300"/>
    </row>
    <row r="254" spans="1:22" hidden="1" x14ac:dyDescent="0.2">
      <c r="A254" s="1" t="s">
        <v>85</v>
      </c>
      <c r="B254" s="53">
        <f>D179</f>
        <v>0</v>
      </c>
      <c r="K254" s="300"/>
    </row>
    <row r="255" spans="1:22" hidden="1" x14ac:dyDescent="0.2">
      <c r="A255" s="1" t="s">
        <v>86</v>
      </c>
      <c r="B255" s="53">
        <f>E179</f>
        <v>0</v>
      </c>
      <c r="K255" s="300"/>
    </row>
    <row r="256" spans="1:22" hidden="1" x14ac:dyDescent="0.2">
      <c r="A256" s="1" t="s">
        <v>92</v>
      </c>
      <c r="B256" s="53">
        <f>B254-B255</f>
        <v>0</v>
      </c>
      <c r="K256" s="300"/>
    </row>
    <row r="257" spans="1:22" hidden="1" x14ac:dyDescent="0.2">
      <c r="A257" s="1" t="s">
        <v>87</v>
      </c>
      <c r="B257" s="53">
        <f>C179</f>
        <v>0</v>
      </c>
      <c r="C257" s="16" t="s">
        <v>93</v>
      </c>
      <c r="D257" s="16" t="s">
        <v>94</v>
      </c>
      <c r="E257" s="16" t="s">
        <v>96</v>
      </c>
      <c r="K257" s="300"/>
    </row>
    <row r="258" spans="1:22" hidden="1" x14ac:dyDescent="0.2">
      <c r="A258" s="1" t="s">
        <v>88</v>
      </c>
      <c r="B258" s="53">
        <f>(B257/2)^2*PI()*D258</f>
        <v>0</v>
      </c>
      <c r="C258" s="1">
        <f>IF(B254&lt;20,B254,20)</f>
        <v>0</v>
      </c>
      <c r="D258" s="1">
        <f>IF(AND(B255&lt;20,B255&gt;0),B255,IF(B255&gt;=20,20,0))</f>
        <v>0</v>
      </c>
      <c r="E258" s="1">
        <f>B258*INDEX(G$184:G$187,K$179)</f>
        <v>0</v>
      </c>
      <c r="K258" s="300"/>
    </row>
    <row r="259" spans="1:22" hidden="1" x14ac:dyDescent="0.2">
      <c r="A259" s="1" t="s">
        <v>89</v>
      </c>
      <c r="B259" s="53">
        <f>(B257/2)^2*PI()*D259</f>
        <v>0</v>
      </c>
      <c r="C259" s="1">
        <f>IF(B254-20&lt;0,0,IF(B254&lt;40,B254-20,20))</f>
        <v>0</v>
      </c>
      <c r="D259" s="1">
        <f>IF(AND(B255&lt;40,B255&gt;20),B255-20,IF(B255&gt;=40,20,0))</f>
        <v>0</v>
      </c>
      <c r="E259" s="1">
        <f>B259*INDEX(H$184:H$187,K$179)</f>
        <v>0</v>
      </c>
      <c r="K259" s="300"/>
    </row>
    <row r="260" spans="1:22" hidden="1" x14ac:dyDescent="0.2">
      <c r="A260" s="1" t="s">
        <v>90</v>
      </c>
      <c r="B260" s="53">
        <f>(B257/2)^2*PI()*D260</f>
        <v>0</v>
      </c>
      <c r="C260" s="1">
        <f>IF(B254-40&lt;0,0,IF(B254&lt;60,B254-40,20))</f>
        <v>0</v>
      </c>
      <c r="D260" s="1">
        <f>IF(AND(B255&lt;60,B255&gt;40),B255-40,IF(B255&gt;=60,20,0))</f>
        <v>0</v>
      </c>
      <c r="E260" s="1">
        <f>B260*INDEX(I$184:I$187,K$179)</f>
        <v>0</v>
      </c>
      <c r="K260" s="300"/>
    </row>
    <row r="261" spans="1:22" hidden="1" x14ac:dyDescent="0.2">
      <c r="A261" s="1" t="s">
        <v>91</v>
      </c>
      <c r="B261" s="53">
        <f>(B257/2)^2*PI()*D261</f>
        <v>0</v>
      </c>
      <c r="C261" s="1">
        <f>IF(B254-60&lt;0,0,IF(B254&lt;80,B254-60,20))</f>
        <v>0</v>
      </c>
      <c r="D261" s="1">
        <f>IF(AND(B255&lt;80,B255&gt;60),B255-60,IF(B255&gt;=80,20,0))</f>
        <v>0</v>
      </c>
      <c r="E261" s="1">
        <f>B261*INDEX(J$184:J$187,K$179)</f>
        <v>0</v>
      </c>
      <c r="K261" s="300"/>
    </row>
    <row r="262" spans="1:22" hidden="1" x14ac:dyDescent="0.2">
      <c r="A262" s="1" t="s">
        <v>95</v>
      </c>
      <c r="B262" s="53">
        <f>(B257/2)^2*PI()*D262</f>
        <v>0</v>
      </c>
      <c r="C262" s="1">
        <f>IF(B254-80&lt;0,0,IF(B254&lt;100,B254-80,20))</f>
        <v>0</v>
      </c>
      <c r="D262" s="1">
        <f>IF(AND(B255&lt;100,B255&gt;80),B255-80,IF(B255&gt;=100,20,0))</f>
        <v>0</v>
      </c>
      <c r="E262" s="1">
        <f>B262*INDEX(K$184:K$187,K$179)</f>
        <v>0</v>
      </c>
      <c r="K262" s="300"/>
    </row>
    <row r="263" spans="1:22" hidden="1" x14ac:dyDescent="0.2">
      <c r="A263" s="1" t="s">
        <v>263</v>
      </c>
      <c r="B263" s="53">
        <f>(B257/2)^2*PI()*D263</f>
        <v>0</v>
      </c>
      <c r="C263" s="1">
        <f>IF(B$263-100&lt;0,0,IF(B$263&lt;120,B$263-100,20))</f>
        <v>0</v>
      </c>
      <c r="D263" s="1">
        <f>IF(AND(B$255&lt;120,B$255&gt;100),B$255-100,IF(B$255&gt;=120,20,0))</f>
        <v>0</v>
      </c>
      <c r="E263" s="1">
        <f>B263*INDEX(K$184:K$187,K$179)</f>
        <v>0</v>
      </c>
      <c r="J263" s="297"/>
      <c r="K263" s="300"/>
      <c r="L263" s="297"/>
      <c r="M263" s="297"/>
      <c r="N263" s="297"/>
      <c r="O263" s="297"/>
      <c r="P263" s="297"/>
      <c r="Q263" s="297"/>
      <c r="R263" s="297"/>
      <c r="S263" s="297"/>
      <c r="T263" s="297"/>
      <c r="U263" s="297"/>
      <c r="V263" s="297"/>
    </row>
    <row r="264" spans="1:22" hidden="1" x14ac:dyDescent="0.2">
      <c r="K264" s="300"/>
    </row>
    <row r="265" spans="1:22" hidden="1" x14ac:dyDescent="0.2">
      <c r="A265" s="1" t="s">
        <v>112</v>
      </c>
      <c r="K265" s="300"/>
    </row>
    <row r="266" spans="1:22" hidden="1" x14ac:dyDescent="0.2">
      <c r="A266" s="1" t="s">
        <v>85</v>
      </c>
      <c r="B266" s="53">
        <f>D180</f>
        <v>0</v>
      </c>
      <c r="K266" s="300"/>
    </row>
    <row r="267" spans="1:22" hidden="1" x14ac:dyDescent="0.2">
      <c r="A267" s="1" t="s">
        <v>86</v>
      </c>
      <c r="B267" s="53">
        <f>E180</f>
        <v>0</v>
      </c>
      <c r="K267" s="300"/>
    </row>
    <row r="268" spans="1:22" hidden="1" x14ac:dyDescent="0.2">
      <c r="A268" s="1" t="s">
        <v>92</v>
      </c>
      <c r="B268" s="53">
        <f>B266-B267</f>
        <v>0</v>
      </c>
      <c r="K268" s="300"/>
    </row>
    <row r="269" spans="1:22" hidden="1" x14ac:dyDescent="0.2">
      <c r="A269" s="1" t="s">
        <v>87</v>
      </c>
      <c r="B269" s="53">
        <f>C180</f>
        <v>0</v>
      </c>
      <c r="C269" s="16" t="s">
        <v>93</v>
      </c>
      <c r="D269" s="16" t="s">
        <v>94</v>
      </c>
      <c r="E269" s="16" t="s">
        <v>96</v>
      </c>
      <c r="K269" s="300"/>
    </row>
    <row r="270" spans="1:22" hidden="1" x14ac:dyDescent="0.2">
      <c r="A270" s="1" t="s">
        <v>88</v>
      </c>
      <c r="B270" s="53">
        <f>(B269/2)^2*PI()*D270</f>
        <v>0</v>
      </c>
      <c r="C270" s="1">
        <f>IF(B266&lt;20,B266,20)</f>
        <v>0</v>
      </c>
      <c r="D270" s="1">
        <f>IF(AND(B267&lt;20,B267&gt;0),B267,IF(B267&gt;=20,20,0))</f>
        <v>0</v>
      </c>
      <c r="E270" s="1">
        <f>B270*INDEX(G$184:G$187,K$180)</f>
        <v>0</v>
      </c>
      <c r="K270" s="300"/>
    </row>
    <row r="271" spans="1:22" hidden="1" x14ac:dyDescent="0.2">
      <c r="A271" s="1" t="s">
        <v>89</v>
      </c>
      <c r="B271" s="53">
        <f>(B269/2)^2*PI()*D271</f>
        <v>0</v>
      </c>
      <c r="C271" s="1">
        <f>IF(B266-20&lt;0,0,IF(B266&lt;40,B266-20,20))</f>
        <v>0</v>
      </c>
      <c r="D271" s="1">
        <f>IF(AND(B267&lt;40,B267&gt;20),B267-20,IF(B267&gt;=40,20,0))</f>
        <v>0</v>
      </c>
      <c r="E271" s="1">
        <f>B271*INDEX(H$184:H$187,K$180)</f>
        <v>0</v>
      </c>
      <c r="K271" s="300"/>
    </row>
    <row r="272" spans="1:22" hidden="1" x14ac:dyDescent="0.2">
      <c r="A272" s="1" t="s">
        <v>90</v>
      </c>
      <c r="B272" s="53">
        <f>(B269/2)^2*PI()*D272</f>
        <v>0</v>
      </c>
      <c r="C272" s="1">
        <f>IF(B266-40&lt;0,0,IF(B266&lt;60,B266-40,20))</f>
        <v>0</v>
      </c>
      <c r="D272" s="1">
        <f>IF(AND(B267&lt;60,B267&gt;40),B267-40,IF(B267&gt;=60,20,0))</f>
        <v>0</v>
      </c>
      <c r="E272" s="1">
        <f>B272*INDEX(I$184:I$187,K$180)</f>
        <v>0</v>
      </c>
      <c r="K272" s="300"/>
    </row>
    <row r="273" spans="1:11" hidden="1" x14ac:dyDescent="0.2">
      <c r="A273" s="1" t="s">
        <v>91</v>
      </c>
      <c r="B273" s="53">
        <f>(B269/2)^2*PI()*D273</f>
        <v>0</v>
      </c>
      <c r="C273" s="1">
        <f>IF(B266-60&lt;0,0,IF(B266&lt;80,B266-60,20))</f>
        <v>0</v>
      </c>
      <c r="D273" s="1">
        <f>IF(AND(B267&lt;80,B267&gt;60),B267-60,IF(B267&gt;=80,20,0))</f>
        <v>0</v>
      </c>
      <c r="E273" s="1">
        <f>B273*INDEX(J$184:J$187,K$180)</f>
        <v>0</v>
      </c>
      <c r="K273" s="300"/>
    </row>
    <row r="274" spans="1:11" hidden="1" x14ac:dyDescent="0.2">
      <c r="A274" s="1" t="s">
        <v>95</v>
      </c>
      <c r="B274" s="53">
        <f>(B269/2)^2*PI()*D274</f>
        <v>0</v>
      </c>
      <c r="C274" s="1">
        <f>IF(B266-80&lt;0,0,IF(B266&lt;100,B266-80,20))</f>
        <v>0</v>
      </c>
      <c r="D274" s="1">
        <f>IF(AND(B267&lt;100,B267&gt;80),B267-80,IF(B267&gt;=100,20,0))</f>
        <v>0</v>
      </c>
      <c r="E274" s="1">
        <f>B274*INDEX(K$184:K$187,K$180)</f>
        <v>0</v>
      </c>
      <c r="K274" s="300"/>
    </row>
    <row r="275" spans="1:11" hidden="1" x14ac:dyDescent="0.2">
      <c r="A275" s="1" t="s">
        <v>263</v>
      </c>
      <c r="B275" s="53">
        <f>(B269/2)^2*PI()*D275</f>
        <v>0</v>
      </c>
      <c r="C275" s="1">
        <f>IF(B$266-100&lt;0,0,IF(B$266&lt;120,B$266-100,20))</f>
        <v>0</v>
      </c>
      <c r="D275" s="1">
        <f>IF(AND(B$267&lt;120,B$267&gt;100),B$267-100,IF(B$267&gt;=120,20,0))</f>
        <v>0</v>
      </c>
      <c r="E275" s="1">
        <f>B275*INDEX(K$184:K$187,K$180)</f>
        <v>0</v>
      </c>
      <c r="K275" s="300"/>
    </row>
    <row r="276" spans="1:11" x14ac:dyDescent="0.2">
      <c r="K276" s="300"/>
    </row>
  </sheetData>
  <sheetProtection password="D040" sheet="1" objects="1" scenarios="1"/>
  <mergeCells count="6">
    <mergeCell ref="I4:J4"/>
    <mergeCell ref="I5:J5"/>
    <mergeCell ref="A2:J2"/>
    <mergeCell ref="E28:E29"/>
    <mergeCell ref="E16:E17"/>
    <mergeCell ref="F28:F29"/>
  </mergeCells>
  <phoneticPr fontId="0" type="noConversion"/>
  <pageMargins left="0.75" right="0.75" top="0.51" bottom="0.49" header="0.5" footer="0.5"/>
  <pageSetup scale="5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2" r:id="rId4" name="Drop Down 4">
              <controlPr defaultSize="0" autoLine="0" autoPict="0">
                <anchor moveWithCells="1">
                  <from>
                    <xdr:col>1</xdr:col>
                    <xdr:colOff>19050</xdr:colOff>
                    <xdr:row>17</xdr:row>
                    <xdr:rowOff>19050</xdr:rowOff>
                  </from>
                  <to>
                    <xdr:col>1</xdr:col>
                    <xdr:colOff>1190625</xdr:colOff>
                    <xdr:row>18</xdr:row>
                    <xdr:rowOff>19050</xdr:rowOff>
                  </to>
                </anchor>
              </controlPr>
            </control>
          </mc:Choice>
        </mc:AlternateContent>
        <mc:AlternateContent xmlns:mc="http://schemas.openxmlformats.org/markup-compatibility/2006">
          <mc:Choice Requires="x14">
            <control shapeId="7173" r:id="rId5" name="Drop Down 5">
              <controlPr defaultSize="0" autoLine="0" autoPict="0">
                <anchor moveWithCells="1">
                  <from>
                    <xdr:col>1</xdr:col>
                    <xdr:colOff>19050</xdr:colOff>
                    <xdr:row>18</xdr:row>
                    <xdr:rowOff>19050</xdr:rowOff>
                  </from>
                  <to>
                    <xdr:col>1</xdr:col>
                    <xdr:colOff>1190625</xdr:colOff>
                    <xdr:row>19</xdr:row>
                    <xdr:rowOff>19050</xdr:rowOff>
                  </to>
                </anchor>
              </controlPr>
            </control>
          </mc:Choice>
        </mc:AlternateContent>
        <mc:AlternateContent xmlns:mc="http://schemas.openxmlformats.org/markup-compatibility/2006">
          <mc:Choice Requires="x14">
            <control shapeId="7174" r:id="rId6" name="Drop Down 6">
              <controlPr defaultSize="0" autoLine="0" autoPict="0">
                <anchor moveWithCells="1">
                  <from>
                    <xdr:col>1</xdr:col>
                    <xdr:colOff>19050</xdr:colOff>
                    <xdr:row>19</xdr:row>
                    <xdr:rowOff>19050</xdr:rowOff>
                  </from>
                  <to>
                    <xdr:col>1</xdr:col>
                    <xdr:colOff>1190625</xdr:colOff>
                    <xdr:row>20</xdr:row>
                    <xdr:rowOff>19050</xdr:rowOff>
                  </to>
                </anchor>
              </controlPr>
            </control>
          </mc:Choice>
        </mc:AlternateContent>
        <mc:AlternateContent xmlns:mc="http://schemas.openxmlformats.org/markup-compatibility/2006">
          <mc:Choice Requires="x14">
            <control shapeId="7175" r:id="rId7" name="Drop Down 7">
              <controlPr defaultSize="0" autoLine="0" autoPict="0">
                <anchor moveWithCells="1">
                  <from>
                    <xdr:col>1</xdr:col>
                    <xdr:colOff>19050</xdr:colOff>
                    <xdr:row>20</xdr:row>
                    <xdr:rowOff>19050</xdr:rowOff>
                  </from>
                  <to>
                    <xdr:col>1</xdr:col>
                    <xdr:colOff>1190625</xdr:colOff>
                    <xdr:row>21</xdr:row>
                    <xdr:rowOff>28575</xdr:rowOff>
                  </to>
                </anchor>
              </controlPr>
            </control>
          </mc:Choice>
        </mc:AlternateContent>
        <mc:AlternateContent xmlns:mc="http://schemas.openxmlformats.org/markup-compatibility/2006">
          <mc:Choice Requires="x14">
            <control shapeId="7176" r:id="rId8" name="Drop Down 8">
              <controlPr defaultSize="0" autoLine="0" autoPict="0">
                <anchor moveWithCells="1">
                  <from>
                    <xdr:col>1</xdr:col>
                    <xdr:colOff>19050</xdr:colOff>
                    <xdr:row>21</xdr:row>
                    <xdr:rowOff>28575</xdr:rowOff>
                  </from>
                  <to>
                    <xdr:col>1</xdr:col>
                    <xdr:colOff>1190625</xdr:colOff>
                    <xdr:row>22</xdr:row>
                    <xdr:rowOff>28575</xdr:rowOff>
                  </to>
                </anchor>
              </controlPr>
            </control>
          </mc:Choice>
        </mc:AlternateContent>
        <mc:AlternateContent xmlns:mc="http://schemas.openxmlformats.org/markup-compatibility/2006">
          <mc:Choice Requires="x14">
            <control shapeId="7177" r:id="rId9" name="Drop Down 9">
              <controlPr defaultSize="0" autoLine="0" autoPict="0">
                <anchor moveWithCells="1">
                  <from>
                    <xdr:col>1</xdr:col>
                    <xdr:colOff>19050</xdr:colOff>
                    <xdr:row>22</xdr:row>
                    <xdr:rowOff>28575</xdr:rowOff>
                  </from>
                  <to>
                    <xdr:col>1</xdr:col>
                    <xdr:colOff>1190625</xdr:colOff>
                    <xdr:row>23</xdr:row>
                    <xdr:rowOff>28575</xdr:rowOff>
                  </to>
                </anchor>
              </controlPr>
            </control>
          </mc:Choice>
        </mc:AlternateContent>
        <mc:AlternateContent xmlns:mc="http://schemas.openxmlformats.org/markup-compatibility/2006">
          <mc:Choice Requires="x14">
            <control shapeId="7178" r:id="rId10" name="Drop Down 10">
              <controlPr defaultSize="0" autoLine="0" autoPict="0">
                <anchor moveWithCells="1">
                  <from>
                    <xdr:col>1</xdr:col>
                    <xdr:colOff>19050</xdr:colOff>
                    <xdr:row>23</xdr:row>
                    <xdr:rowOff>28575</xdr:rowOff>
                  </from>
                  <to>
                    <xdr:col>1</xdr:col>
                    <xdr:colOff>1190625</xdr:colOff>
                    <xdr:row>24</xdr:row>
                    <xdr:rowOff>28575</xdr:rowOff>
                  </to>
                </anchor>
              </controlPr>
            </control>
          </mc:Choice>
        </mc:AlternateContent>
        <mc:AlternateContent xmlns:mc="http://schemas.openxmlformats.org/markup-compatibility/2006">
          <mc:Choice Requires="x14">
            <control shapeId="7179" r:id="rId11" name="Drop Down 11">
              <controlPr defaultSize="0" autoLine="0" autoPict="0">
                <anchor moveWithCells="1">
                  <from>
                    <xdr:col>1</xdr:col>
                    <xdr:colOff>19050</xdr:colOff>
                    <xdr:row>24</xdr:row>
                    <xdr:rowOff>38100</xdr:rowOff>
                  </from>
                  <to>
                    <xdr:col>1</xdr:col>
                    <xdr:colOff>1190625</xdr:colOff>
                    <xdr:row>25</xdr:row>
                    <xdr:rowOff>38100</xdr:rowOff>
                  </to>
                </anchor>
              </controlPr>
            </control>
          </mc:Choice>
        </mc:AlternateContent>
        <mc:AlternateContent xmlns:mc="http://schemas.openxmlformats.org/markup-compatibility/2006">
          <mc:Choice Requires="x14">
            <control shapeId="7180" r:id="rId12" name="Drop Down 12">
              <controlPr defaultSize="0" autoLine="0" autoPict="0">
                <anchor moveWithCells="1">
                  <from>
                    <xdr:col>1</xdr:col>
                    <xdr:colOff>19050</xdr:colOff>
                    <xdr:row>29</xdr:row>
                    <xdr:rowOff>0</xdr:rowOff>
                  </from>
                  <to>
                    <xdr:col>1</xdr:col>
                    <xdr:colOff>1190625</xdr:colOff>
                    <xdr:row>29</xdr:row>
                    <xdr:rowOff>209550</xdr:rowOff>
                  </to>
                </anchor>
              </controlPr>
            </control>
          </mc:Choice>
        </mc:AlternateContent>
        <mc:AlternateContent xmlns:mc="http://schemas.openxmlformats.org/markup-compatibility/2006">
          <mc:Choice Requires="x14">
            <control shapeId="7181" r:id="rId13" name="Drop Down 13">
              <controlPr defaultSize="0" autoLine="0" autoPict="0">
                <anchor moveWithCells="1">
                  <from>
                    <xdr:col>1</xdr:col>
                    <xdr:colOff>19050</xdr:colOff>
                    <xdr:row>29</xdr:row>
                    <xdr:rowOff>209550</xdr:rowOff>
                  </from>
                  <to>
                    <xdr:col>1</xdr:col>
                    <xdr:colOff>1190625</xdr:colOff>
                    <xdr:row>30</xdr:row>
                    <xdr:rowOff>200025</xdr:rowOff>
                  </to>
                </anchor>
              </controlPr>
            </control>
          </mc:Choice>
        </mc:AlternateContent>
        <mc:AlternateContent xmlns:mc="http://schemas.openxmlformats.org/markup-compatibility/2006">
          <mc:Choice Requires="x14">
            <control shapeId="7182" r:id="rId14" name="Drop Down 14">
              <controlPr defaultSize="0" autoLine="0" autoPict="0">
                <anchor moveWithCells="1">
                  <from>
                    <xdr:col>1</xdr:col>
                    <xdr:colOff>19050</xdr:colOff>
                    <xdr:row>31</xdr:row>
                    <xdr:rowOff>9525</xdr:rowOff>
                  </from>
                  <to>
                    <xdr:col>1</xdr:col>
                    <xdr:colOff>1190625</xdr:colOff>
                    <xdr:row>31</xdr:row>
                    <xdr:rowOff>209550</xdr:rowOff>
                  </to>
                </anchor>
              </controlPr>
            </control>
          </mc:Choice>
        </mc:AlternateContent>
        <mc:AlternateContent xmlns:mc="http://schemas.openxmlformats.org/markup-compatibility/2006">
          <mc:Choice Requires="x14">
            <control shapeId="7183" r:id="rId15" name="Drop Down 15">
              <controlPr defaultSize="0" autoLine="0" autoPict="0">
                <anchor moveWithCells="1">
                  <from>
                    <xdr:col>1</xdr:col>
                    <xdr:colOff>19050</xdr:colOff>
                    <xdr:row>32</xdr:row>
                    <xdr:rowOff>9525</xdr:rowOff>
                  </from>
                  <to>
                    <xdr:col>1</xdr:col>
                    <xdr:colOff>1190625</xdr:colOff>
                    <xdr:row>32</xdr:row>
                    <xdr:rowOff>209550</xdr:rowOff>
                  </to>
                </anchor>
              </controlPr>
            </control>
          </mc:Choice>
        </mc:AlternateContent>
        <mc:AlternateContent xmlns:mc="http://schemas.openxmlformats.org/markup-compatibility/2006">
          <mc:Choice Requires="x14">
            <control shapeId="7184" r:id="rId16" name="Drop Down 16">
              <controlPr defaultSize="0" autoLine="0" autoPict="0">
                <anchor moveWithCells="1">
                  <from>
                    <xdr:col>1</xdr:col>
                    <xdr:colOff>19050</xdr:colOff>
                    <xdr:row>33</xdr:row>
                    <xdr:rowOff>9525</xdr:rowOff>
                  </from>
                  <to>
                    <xdr:col>1</xdr:col>
                    <xdr:colOff>1190625</xdr:colOff>
                    <xdr:row>34</xdr:row>
                    <xdr:rowOff>19050</xdr:rowOff>
                  </to>
                </anchor>
              </controlPr>
            </control>
          </mc:Choice>
        </mc:AlternateContent>
        <mc:AlternateContent xmlns:mc="http://schemas.openxmlformats.org/markup-compatibility/2006">
          <mc:Choice Requires="x14">
            <control shapeId="7185" r:id="rId17" name="Drop Down 17">
              <controlPr defaultSize="0" autoLine="0" autoPict="0">
                <anchor moveWithCells="1">
                  <from>
                    <xdr:col>1</xdr:col>
                    <xdr:colOff>19050</xdr:colOff>
                    <xdr:row>34</xdr:row>
                    <xdr:rowOff>19050</xdr:rowOff>
                  </from>
                  <to>
                    <xdr:col>1</xdr:col>
                    <xdr:colOff>1190625</xdr:colOff>
                    <xdr:row>35</xdr:row>
                    <xdr:rowOff>19050</xdr:rowOff>
                  </to>
                </anchor>
              </controlPr>
            </control>
          </mc:Choice>
        </mc:AlternateContent>
        <mc:AlternateContent xmlns:mc="http://schemas.openxmlformats.org/markup-compatibility/2006">
          <mc:Choice Requires="x14">
            <control shapeId="7186" r:id="rId18" name="Drop Down 18">
              <controlPr defaultSize="0" autoLine="0" autoPict="0">
                <anchor moveWithCells="1">
                  <from>
                    <xdr:col>1</xdr:col>
                    <xdr:colOff>19050</xdr:colOff>
                    <xdr:row>35</xdr:row>
                    <xdr:rowOff>19050</xdr:rowOff>
                  </from>
                  <to>
                    <xdr:col>1</xdr:col>
                    <xdr:colOff>1190625</xdr:colOff>
                    <xdr:row>36</xdr:row>
                    <xdr:rowOff>19050</xdr:rowOff>
                  </to>
                </anchor>
              </controlPr>
            </control>
          </mc:Choice>
        </mc:AlternateContent>
        <mc:AlternateContent xmlns:mc="http://schemas.openxmlformats.org/markup-compatibility/2006">
          <mc:Choice Requires="x14">
            <control shapeId="7187" r:id="rId19" name="Drop Down 19">
              <controlPr defaultSize="0" autoLine="0" autoPict="0">
                <anchor moveWithCells="1">
                  <from>
                    <xdr:col>1</xdr:col>
                    <xdr:colOff>19050</xdr:colOff>
                    <xdr:row>36</xdr:row>
                    <xdr:rowOff>19050</xdr:rowOff>
                  </from>
                  <to>
                    <xdr:col>1</xdr:col>
                    <xdr:colOff>1190625</xdr:colOff>
                    <xdr:row>37</xdr:row>
                    <xdr:rowOff>19050</xdr:rowOff>
                  </to>
                </anchor>
              </controlPr>
            </control>
          </mc:Choice>
        </mc:AlternateContent>
        <mc:AlternateContent xmlns:mc="http://schemas.openxmlformats.org/markup-compatibility/2006">
          <mc:Choice Requires="x14">
            <control shapeId="7188" r:id="rId20" name="Drop Down 20">
              <controlPr defaultSize="0" autoLine="0" autoPict="0">
                <anchor moveWithCells="1">
                  <from>
                    <xdr:col>1</xdr:col>
                    <xdr:colOff>28575</xdr:colOff>
                    <xdr:row>41</xdr:row>
                    <xdr:rowOff>19050</xdr:rowOff>
                  </from>
                  <to>
                    <xdr:col>1</xdr:col>
                    <xdr:colOff>1200150</xdr:colOff>
                    <xdr:row>42</xdr:row>
                    <xdr:rowOff>28575</xdr:rowOff>
                  </to>
                </anchor>
              </controlPr>
            </control>
          </mc:Choice>
        </mc:AlternateContent>
        <mc:AlternateContent xmlns:mc="http://schemas.openxmlformats.org/markup-compatibility/2006">
          <mc:Choice Requires="x14">
            <control shapeId="7189" r:id="rId21" name="Drop Down 21">
              <controlPr defaultSize="0" autoLine="0" autoPict="0">
                <anchor moveWithCells="1">
                  <from>
                    <xdr:col>1</xdr:col>
                    <xdr:colOff>28575</xdr:colOff>
                    <xdr:row>42</xdr:row>
                    <xdr:rowOff>28575</xdr:rowOff>
                  </from>
                  <to>
                    <xdr:col>1</xdr:col>
                    <xdr:colOff>1200150</xdr:colOff>
                    <xdr:row>43</xdr:row>
                    <xdr:rowOff>19050</xdr:rowOff>
                  </to>
                </anchor>
              </controlPr>
            </control>
          </mc:Choice>
        </mc:AlternateContent>
        <mc:AlternateContent xmlns:mc="http://schemas.openxmlformats.org/markup-compatibility/2006">
          <mc:Choice Requires="x14">
            <control shapeId="7190" r:id="rId22" name="Drop Down 22">
              <controlPr defaultSize="0" autoLine="0" autoPict="0">
                <anchor moveWithCells="1">
                  <from>
                    <xdr:col>1</xdr:col>
                    <xdr:colOff>28575</xdr:colOff>
                    <xdr:row>43</xdr:row>
                    <xdr:rowOff>28575</xdr:rowOff>
                  </from>
                  <to>
                    <xdr:col>1</xdr:col>
                    <xdr:colOff>1200150</xdr:colOff>
                    <xdr:row>44</xdr:row>
                    <xdr:rowOff>19050</xdr:rowOff>
                  </to>
                </anchor>
              </controlPr>
            </control>
          </mc:Choice>
        </mc:AlternateContent>
        <mc:AlternateContent xmlns:mc="http://schemas.openxmlformats.org/markup-compatibility/2006">
          <mc:Choice Requires="x14">
            <control shapeId="7191" r:id="rId23" name="Drop Down 23">
              <controlPr defaultSize="0" autoLine="0" autoPict="0">
                <anchor moveWithCells="1">
                  <from>
                    <xdr:col>1</xdr:col>
                    <xdr:colOff>28575</xdr:colOff>
                    <xdr:row>44</xdr:row>
                    <xdr:rowOff>28575</xdr:rowOff>
                  </from>
                  <to>
                    <xdr:col>1</xdr:col>
                    <xdr:colOff>1200150</xdr:colOff>
                    <xdr:row>45</xdr:row>
                    <xdr:rowOff>19050</xdr:rowOff>
                  </to>
                </anchor>
              </controlPr>
            </control>
          </mc:Choice>
        </mc:AlternateContent>
        <mc:AlternateContent xmlns:mc="http://schemas.openxmlformats.org/markup-compatibility/2006">
          <mc:Choice Requires="x14">
            <control shapeId="7192" r:id="rId24" name="Drop Down 24">
              <controlPr defaultSize="0" autoLine="0" autoPict="0">
                <anchor moveWithCells="1">
                  <from>
                    <xdr:col>1</xdr:col>
                    <xdr:colOff>28575</xdr:colOff>
                    <xdr:row>45</xdr:row>
                    <xdr:rowOff>38100</xdr:rowOff>
                  </from>
                  <to>
                    <xdr:col>1</xdr:col>
                    <xdr:colOff>1200150</xdr:colOff>
                    <xdr:row>46</xdr:row>
                    <xdr:rowOff>38100</xdr:rowOff>
                  </to>
                </anchor>
              </controlPr>
            </control>
          </mc:Choice>
        </mc:AlternateContent>
        <mc:AlternateContent xmlns:mc="http://schemas.openxmlformats.org/markup-compatibility/2006">
          <mc:Choice Requires="x14">
            <control shapeId="7193" r:id="rId25" name="Drop Down 25">
              <controlPr defaultSize="0" autoLine="0" autoPict="0">
                <anchor moveWithCells="1">
                  <from>
                    <xdr:col>1</xdr:col>
                    <xdr:colOff>28575</xdr:colOff>
                    <xdr:row>46</xdr:row>
                    <xdr:rowOff>38100</xdr:rowOff>
                  </from>
                  <to>
                    <xdr:col>1</xdr:col>
                    <xdr:colOff>1200150</xdr:colOff>
                    <xdr:row>47</xdr:row>
                    <xdr:rowOff>38100</xdr:rowOff>
                  </to>
                </anchor>
              </controlPr>
            </control>
          </mc:Choice>
        </mc:AlternateContent>
        <mc:AlternateContent xmlns:mc="http://schemas.openxmlformats.org/markup-compatibility/2006">
          <mc:Choice Requires="x14">
            <control shapeId="7194" r:id="rId26" name="Drop Down 26">
              <controlPr defaultSize="0" autoLine="0" autoPict="0">
                <anchor moveWithCells="1">
                  <from>
                    <xdr:col>1</xdr:col>
                    <xdr:colOff>28575</xdr:colOff>
                    <xdr:row>47</xdr:row>
                    <xdr:rowOff>38100</xdr:rowOff>
                  </from>
                  <to>
                    <xdr:col>1</xdr:col>
                    <xdr:colOff>1200150</xdr:colOff>
                    <xdr:row>48</xdr:row>
                    <xdr:rowOff>47625</xdr:rowOff>
                  </to>
                </anchor>
              </controlPr>
            </control>
          </mc:Choice>
        </mc:AlternateContent>
        <mc:AlternateContent xmlns:mc="http://schemas.openxmlformats.org/markup-compatibility/2006">
          <mc:Choice Requires="x14">
            <control shapeId="7195" r:id="rId27" name="Drop Down 27">
              <controlPr defaultSize="0" autoLine="0" autoPict="0">
                <anchor moveWithCells="1">
                  <from>
                    <xdr:col>1</xdr:col>
                    <xdr:colOff>28575</xdr:colOff>
                    <xdr:row>48</xdr:row>
                    <xdr:rowOff>47625</xdr:rowOff>
                  </from>
                  <to>
                    <xdr:col>1</xdr:col>
                    <xdr:colOff>1200150</xdr:colOff>
                    <xdr:row>49</xdr:row>
                    <xdr:rowOff>47625</xdr:rowOff>
                  </to>
                </anchor>
              </controlPr>
            </control>
          </mc:Choice>
        </mc:AlternateContent>
        <mc:AlternateContent xmlns:mc="http://schemas.openxmlformats.org/markup-compatibility/2006">
          <mc:Choice Requires="x14">
            <control shapeId="7196" r:id="rId28" name="Drop Down 28">
              <controlPr defaultSize="0" autoLine="0" autoPict="0">
                <anchor moveWithCells="1">
                  <from>
                    <xdr:col>1</xdr:col>
                    <xdr:colOff>28575</xdr:colOff>
                    <xdr:row>65</xdr:row>
                    <xdr:rowOff>19050</xdr:rowOff>
                  </from>
                  <to>
                    <xdr:col>1</xdr:col>
                    <xdr:colOff>1200150</xdr:colOff>
                    <xdr:row>66</xdr:row>
                    <xdr:rowOff>19050</xdr:rowOff>
                  </to>
                </anchor>
              </controlPr>
            </control>
          </mc:Choice>
        </mc:AlternateContent>
        <mc:AlternateContent xmlns:mc="http://schemas.openxmlformats.org/markup-compatibility/2006">
          <mc:Choice Requires="x14">
            <control shapeId="7197" r:id="rId29" name="Drop Down 29">
              <controlPr defaultSize="0" autoLine="0" autoPict="0">
                <anchor moveWithCells="1">
                  <from>
                    <xdr:col>1</xdr:col>
                    <xdr:colOff>28575</xdr:colOff>
                    <xdr:row>66</xdr:row>
                    <xdr:rowOff>9525</xdr:rowOff>
                  </from>
                  <to>
                    <xdr:col>1</xdr:col>
                    <xdr:colOff>1200150</xdr:colOff>
                    <xdr:row>67</xdr:row>
                    <xdr:rowOff>28575</xdr:rowOff>
                  </to>
                </anchor>
              </controlPr>
            </control>
          </mc:Choice>
        </mc:AlternateContent>
        <mc:AlternateContent xmlns:mc="http://schemas.openxmlformats.org/markup-compatibility/2006">
          <mc:Choice Requires="x14">
            <control shapeId="7198" r:id="rId30" name="Drop Down 30">
              <controlPr defaultSize="0" autoLine="0" autoPict="0">
                <anchor moveWithCells="1">
                  <from>
                    <xdr:col>1</xdr:col>
                    <xdr:colOff>28575</xdr:colOff>
                    <xdr:row>67</xdr:row>
                    <xdr:rowOff>19050</xdr:rowOff>
                  </from>
                  <to>
                    <xdr:col>1</xdr:col>
                    <xdr:colOff>1200150</xdr:colOff>
                    <xdr:row>68</xdr:row>
                    <xdr:rowOff>28575</xdr:rowOff>
                  </to>
                </anchor>
              </controlPr>
            </control>
          </mc:Choice>
        </mc:AlternateContent>
        <mc:AlternateContent xmlns:mc="http://schemas.openxmlformats.org/markup-compatibility/2006">
          <mc:Choice Requires="x14">
            <control shapeId="7200" r:id="rId31" name="Drop Down 32">
              <controlPr defaultSize="0" autoLine="0" autoPict="0">
                <anchor moveWithCells="1">
                  <from>
                    <xdr:col>1</xdr:col>
                    <xdr:colOff>28575</xdr:colOff>
                    <xdr:row>69</xdr:row>
                    <xdr:rowOff>28575</xdr:rowOff>
                  </from>
                  <to>
                    <xdr:col>1</xdr:col>
                    <xdr:colOff>1200150</xdr:colOff>
                    <xdr:row>70</xdr:row>
                    <xdr:rowOff>57150</xdr:rowOff>
                  </to>
                </anchor>
              </controlPr>
            </control>
          </mc:Choice>
        </mc:AlternateContent>
        <mc:AlternateContent xmlns:mc="http://schemas.openxmlformats.org/markup-compatibility/2006">
          <mc:Choice Requires="x14">
            <control shapeId="7199" r:id="rId32" name="Drop Down 31">
              <controlPr defaultSize="0" autoLine="0" autoPict="0">
                <anchor moveWithCells="1">
                  <from>
                    <xdr:col>1</xdr:col>
                    <xdr:colOff>28575</xdr:colOff>
                    <xdr:row>68</xdr:row>
                    <xdr:rowOff>19050</xdr:rowOff>
                  </from>
                  <to>
                    <xdr:col>1</xdr:col>
                    <xdr:colOff>1200150</xdr:colOff>
                    <xdr:row>69</xdr:row>
                    <xdr:rowOff>28575</xdr:rowOff>
                  </to>
                </anchor>
              </controlPr>
            </control>
          </mc:Choice>
        </mc:AlternateContent>
        <mc:AlternateContent xmlns:mc="http://schemas.openxmlformats.org/markup-compatibility/2006">
          <mc:Choice Requires="x14">
            <control shapeId="7201" r:id="rId33" name="Drop Down 33">
              <controlPr defaultSize="0" autoLine="0" autoPict="0">
                <anchor moveWithCells="1">
                  <from>
                    <xdr:col>1</xdr:col>
                    <xdr:colOff>28575</xdr:colOff>
                    <xdr:row>70</xdr:row>
                    <xdr:rowOff>28575</xdr:rowOff>
                  </from>
                  <to>
                    <xdr:col>1</xdr:col>
                    <xdr:colOff>1200150</xdr:colOff>
                    <xdr:row>71</xdr:row>
                    <xdr:rowOff>47625</xdr:rowOff>
                  </to>
                </anchor>
              </controlPr>
            </control>
          </mc:Choice>
        </mc:AlternateContent>
        <mc:AlternateContent xmlns:mc="http://schemas.openxmlformats.org/markup-compatibility/2006">
          <mc:Choice Requires="x14">
            <control shapeId="7202" r:id="rId34" name="Drop Down 34">
              <controlPr defaultSize="0" autoLine="0" autoPict="0">
                <anchor moveWithCells="1">
                  <from>
                    <xdr:col>1</xdr:col>
                    <xdr:colOff>28575</xdr:colOff>
                    <xdr:row>71</xdr:row>
                    <xdr:rowOff>28575</xdr:rowOff>
                  </from>
                  <to>
                    <xdr:col>1</xdr:col>
                    <xdr:colOff>1200150</xdr:colOff>
                    <xdr:row>72</xdr:row>
                    <xdr:rowOff>47625</xdr:rowOff>
                  </to>
                </anchor>
              </controlPr>
            </control>
          </mc:Choice>
        </mc:AlternateContent>
        <mc:AlternateContent xmlns:mc="http://schemas.openxmlformats.org/markup-compatibility/2006">
          <mc:Choice Requires="x14">
            <control shapeId="7203" r:id="rId35" name="Drop Down 35">
              <controlPr defaultSize="0" autoLine="0" autoPict="0">
                <anchor moveWithCells="1">
                  <from>
                    <xdr:col>1</xdr:col>
                    <xdr:colOff>28575</xdr:colOff>
                    <xdr:row>72</xdr:row>
                    <xdr:rowOff>28575</xdr:rowOff>
                  </from>
                  <to>
                    <xdr:col>1</xdr:col>
                    <xdr:colOff>1200150</xdr:colOff>
                    <xdr:row>168</xdr:row>
                    <xdr:rowOff>19050</xdr:rowOff>
                  </to>
                </anchor>
              </controlPr>
            </control>
          </mc:Choice>
        </mc:AlternateContent>
        <mc:AlternateContent xmlns:mc="http://schemas.openxmlformats.org/markup-compatibility/2006">
          <mc:Choice Requires="x14">
            <control shapeId="7204" r:id="rId36" name="Drop Down 36">
              <controlPr defaultSize="0" autoLine="0" autoPict="0">
                <anchor moveWithCells="1">
                  <from>
                    <xdr:col>1</xdr:col>
                    <xdr:colOff>19050</xdr:colOff>
                    <xdr:row>53</xdr:row>
                    <xdr:rowOff>19050</xdr:rowOff>
                  </from>
                  <to>
                    <xdr:col>1</xdr:col>
                    <xdr:colOff>1190625</xdr:colOff>
                    <xdr:row>54</xdr:row>
                    <xdr:rowOff>47625</xdr:rowOff>
                  </to>
                </anchor>
              </controlPr>
            </control>
          </mc:Choice>
        </mc:AlternateContent>
        <mc:AlternateContent xmlns:mc="http://schemas.openxmlformats.org/markup-compatibility/2006">
          <mc:Choice Requires="x14">
            <control shapeId="7205" r:id="rId37" name="Drop Down 37">
              <controlPr defaultSize="0" autoLine="0" autoPict="0">
                <anchor moveWithCells="1">
                  <from>
                    <xdr:col>1</xdr:col>
                    <xdr:colOff>19050</xdr:colOff>
                    <xdr:row>54</xdr:row>
                    <xdr:rowOff>19050</xdr:rowOff>
                  </from>
                  <to>
                    <xdr:col>1</xdr:col>
                    <xdr:colOff>1190625</xdr:colOff>
                    <xdr:row>55</xdr:row>
                    <xdr:rowOff>47625</xdr:rowOff>
                  </to>
                </anchor>
              </controlPr>
            </control>
          </mc:Choice>
        </mc:AlternateContent>
        <mc:AlternateContent xmlns:mc="http://schemas.openxmlformats.org/markup-compatibility/2006">
          <mc:Choice Requires="x14">
            <control shapeId="7206" r:id="rId38" name="Drop Down 38">
              <controlPr defaultSize="0" autoLine="0" autoPict="0">
                <anchor moveWithCells="1">
                  <from>
                    <xdr:col>1</xdr:col>
                    <xdr:colOff>19050</xdr:colOff>
                    <xdr:row>55</xdr:row>
                    <xdr:rowOff>28575</xdr:rowOff>
                  </from>
                  <to>
                    <xdr:col>1</xdr:col>
                    <xdr:colOff>1190625</xdr:colOff>
                    <xdr:row>56</xdr:row>
                    <xdr:rowOff>47625</xdr:rowOff>
                  </to>
                </anchor>
              </controlPr>
            </control>
          </mc:Choice>
        </mc:AlternateContent>
        <mc:AlternateContent xmlns:mc="http://schemas.openxmlformats.org/markup-compatibility/2006">
          <mc:Choice Requires="x14">
            <control shapeId="7207" r:id="rId39" name="Drop Down 39">
              <controlPr defaultSize="0" autoLine="0" autoPict="0">
                <anchor moveWithCells="1">
                  <from>
                    <xdr:col>1</xdr:col>
                    <xdr:colOff>19050</xdr:colOff>
                    <xdr:row>56</xdr:row>
                    <xdr:rowOff>28575</xdr:rowOff>
                  </from>
                  <to>
                    <xdr:col>1</xdr:col>
                    <xdr:colOff>1190625</xdr:colOff>
                    <xdr:row>57</xdr:row>
                    <xdr:rowOff>47625</xdr:rowOff>
                  </to>
                </anchor>
              </controlPr>
            </control>
          </mc:Choice>
        </mc:AlternateContent>
        <mc:AlternateContent xmlns:mc="http://schemas.openxmlformats.org/markup-compatibility/2006">
          <mc:Choice Requires="x14">
            <control shapeId="7208" r:id="rId40" name="Drop Down 40">
              <controlPr defaultSize="0" autoLine="0" autoPict="0">
                <anchor moveWithCells="1">
                  <from>
                    <xdr:col>1</xdr:col>
                    <xdr:colOff>19050</xdr:colOff>
                    <xdr:row>57</xdr:row>
                    <xdr:rowOff>28575</xdr:rowOff>
                  </from>
                  <to>
                    <xdr:col>1</xdr:col>
                    <xdr:colOff>1190625</xdr:colOff>
                    <xdr:row>58</xdr:row>
                    <xdr:rowOff>57150</xdr:rowOff>
                  </to>
                </anchor>
              </controlPr>
            </control>
          </mc:Choice>
        </mc:AlternateContent>
        <mc:AlternateContent xmlns:mc="http://schemas.openxmlformats.org/markup-compatibility/2006">
          <mc:Choice Requires="x14">
            <control shapeId="7209" r:id="rId41" name="Drop Down 41">
              <controlPr defaultSize="0" autoLine="0" autoPict="0">
                <anchor moveWithCells="1">
                  <from>
                    <xdr:col>1</xdr:col>
                    <xdr:colOff>19050</xdr:colOff>
                    <xdr:row>58</xdr:row>
                    <xdr:rowOff>38100</xdr:rowOff>
                  </from>
                  <to>
                    <xdr:col>1</xdr:col>
                    <xdr:colOff>1190625</xdr:colOff>
                    <xdr:row>59</xdr:row>
                    <xdr:rowOff>57150</xdr:rowOff>
                  </to>
                </anchor>
              </controlPr>
            </control>
          </mc:Choice>
        </mc:AlternateContent>
        <mc:AlternateContent xmlns:mc="http://schemas.openxmlformats.org/markup-compatibility/2006">
          <mc:Choice Requires="x14">
            <control shapeId="7210" r:id="rId42" name="Drop Down 42">
              <controlPr defaultSize="0" autoLine="0" autoPict="0">
                <anchor moveWithCells="1">
                  <from>
                    <xdr:col>1</xdr:col>
                    <xdr:colOff>19050</xdr:colOff>
                    <xdr:row>59</xdr:row>
                    <xdr:rowOff>38100</xdr:rowOff>
                  </from>
                  <to>
                    <xdr:col>1</xdr:col>
                    <xdr:colOff>1190625</xdr:colOff>
                    <xdr:row>60</xdr:row>
                    <xdr:rowOff>66675</xdr:rowOff>
                  </to>
                </anchor>
              </controlPr>
            </control>
          </mc:Choice>
        </mc:AlternateContent>
        <mc:AlternateContent xmlns:mc="http://schemas.openxmlformats.org/markup-compatibility/2006">
          <mc:Choice Requires="x14">
            <control shapeId="7211" r:id="rId43" name="Drop Down 43">
              <controlPr defaultSize="0" autoLine="0" autoPict="0">
                <anchor moveWithCells="1">
                  <from>
                    <xdr:col>1</xdr:col>
                    <xdr:colOff>19050</xdr:colOff>
                    <xdr:row>60</xdr:row>
                    <xdr:rowOff>47625</xdr:rowOff>
                  </from>
                  <to>
                    <xdr:col>1</xdr:col>
                    <xdr:colOff>1190625</xdr:colOff>
                    <xdr:row>61</xdr:row>
                    <xdr:rowOff>57150</xdr:rowOff>
                  </to>
                </anchor>
              </controlPr>
            </control>
          </mc:Choice>
        </mc:AlternateContent>
        <mc:AlternateContent xmlns:mc="http://schemas.openxmlformats.org/markup-compatibility/2006">
          <mc:Choice Requires="x14">
            <control shapeId="7212" r:id="rId44" name="Drop Down 44">
              <controlPr defaultSize="0" autoLine="0" autoPict="0">
                <anchor moveWithCells="1">
                  <from>
                    <xdr:col>6</xdr:col>
                    <xdr:colOff>19050</xdr:colOff>
                    <xdr:row>64</xdr:row>
                    <xdr:rowOff>133350</xdr:rowOff>
                  </from>
                  <to>
                    <xdr:col>7</xdr:col>
                    <xdr:colOff>0</xdr:colOff>
                    <xdr:row>65</xdr:row>
                    <xdr:rowOff>190500</xdr:rowOff>
                  </to>
                </anchor>
              </controlPr>
            </control>
          </mc:Choice>
        </mc:AlternateContent>
        <mc:AlternateContent xmlns:mc="http://schemas.openxmlformats.org/markup-compatibility/2006">
          <mc:Choice Requires="x14">
            <control shapeId="7213" r:id="rId45" name="Drop Down 45">
              <controlPr defaultSize="0" autoLine="0" autoPict="0">
                <anchor moveWithCells="1">
                  <from>
                    <xdr:col>6</xdr:col>
                    <xdr:colOff>19050</xdr:colOff>
                    <xdr:row>65</xdr:row>
                    <xdr:rowOff>180975</xdr:rowOff>
                  </from>
                  <to>
                    <xdr:col>7</xdr:col>
                    <xdr:colOff>0</xdr:colOff>
                    <xdr:row>66</xdr:row>
                    <xdr:rowOff>200025</xdr:rowOff>
                  </to>
                </anchor>
              </controlPr>
            </control>
          </mc:Choice>
        </mc:AlternateContent>
        <mc:AlternateContent xmlns:mc="http://schemas.openxmlformats.org/markup-compatibility/2006">
          <mc:Choice Requires="x14">
            <control shapeId="7214" r:id="rId46" name="Drop Down 46">
              <controlPr defaultSize="0" autoLine="0" autoPict="0">
                <anchor moveWithCells="1">
                  <from>
                    <xdr:col>6</xdr:col>
                    <xdr:colOff>19050</xdr:colOff>
                    <xdr:row>66</xdr:row>
                    <xdr:rowOff>190500</xdr:rowOff>
                  </from>
                  <to>
                    <xdr:col>7</xdr:col>
                    <xdr:colOff>0</xdr:colOff>
                    <xdr:row>67</xdr:row>
                    <xdr:rowOff>200025</xdr:rowOff>
                  </to>
                </anchor>
              </controlPr>
            </control>
          </mc:Choice>
        </mc:AlternateContent>
        <mc:AlternateContent xmlns:mc="http://schemas.openxmlformats.org/markup-compatibility/2006">
          <mc:Choice Requires="x14">
            <control shapeId="7215" r:id="rId47" name="Drop Down 47">
              <controlPr defaultSize="0" autoLine="0" autoPict="0">
                <anchor moveWithCells="1">
                  <from>
                    <xdr:col>6</xdr:col>
                    <xdr:colOff>19050</xdr:colOff>
                    <xdr:row>67</xdr:row>
                    <xdr:rowOff>190500</xdr:rowOff>
                  </from>
                  <to>
                    <xdr:col>7</xdr:col>
                    <xdr:colOff>0</xdr:colOff>
                    <xdr:row>68</xdr:row>
                    <xdr:rowOff>200025</xdr:rowOff>
                  </to>
                </anchor>
              </controlPr>
            </control>
          </mc:Choice>
        </mc:AlternateContent>
        <mc:AlternateContent xmlns:mc="http://schemas.openxmlformats.org/markup-compatibility/2006">
          <mc:Choice Requires="x14">
            <control shapeId="7216" r:id="rId48" name="Drop Down 48">
              <controlPr defaultSize="0" autoLine="0" autoPict="0">
                <anchor moveWithCells="1">
                  <from>
                    <xdr:col>6</xdr:col>
                    <xdr:colOff>19050</xdr:colOff>
                    <xdr:row>68</xdr:row>
                    <xdr:rowOff>190500</xdr:rowOff>
                  </from>
                  <to>
                    <xdr:col>7</xdr:col>
                    <xdr:colOff>0</xdr:colOff>
                    <xdr:row>70</xdr:row>
                    <xdr:rowOff>0</xdr:rowOff>
                  </to>
                </anchor>
              </controlPr>
            </control>
          </mc:Choice>
        </mc:AlternateContent>
        <mc:AlternateContent xmlns:mc="http://schemas.openxmlformats.org/markup-compatibility/2006">
          <mc:Choice Requires="x14">
            <control shapeId="7217" r:id="rId49" name="Drop Down 49">
              <controlPr defaultSize="0" autoLine="0" autoPict="0">
                <anchor moveWithCells="1">
                  <from>
                    <xdr:col>6</xdr:col>
                    <xdr:colOff>19050</xdr:colOff>
                    <xdr:row>69</xdr:row>
                    <xdr:rowOff>200025</xdr:rowOff>
                  </from>
                  <to>
                    <xdr:col>7</xdr:col>
                    <xdr:colOff>0</xdr:colOff>
                    <xdr:row>71</xdr:row>
                    <xdr:rowOff>0</xdr:rowOff>
                  </to>
                </anchor>
              </controlPr>
            </control>
          </mc:Choice>
        </mc:AlternateContent>
        <mc:AlternateContent xmlns:mc="http://schemas.openxmlformats.org/markup-compatibility/2006">
          <mc:Choice Requires="x14">
            <control shapeId="7218" r:id="rId50" name="Drop Down 50">
              <controlPr defaultSize="0" autoLine="0" autoPict="0">
                <anchor moveWithCells="1">
                  <from>
                    <xdr:col>6</xdr:col>
                    <xdr:colOff>19050</xdr:colOff>
                    <xdr:row>70</xdr:row>
                    <xdr:rowOff>200025</xdr:rowOff>
                  </from>
                  <to>
                    <xdr:col>7</xdr:col>
                    <xdr:colOff>0</xdr:colOff>
                    <xdr:row>72</xdr:row>
                    <xdr:rowOff>0</xdr:rowOff>
                  </to>
                </anchor>
              </controlPr>
            </control>
          </mc:Choice>
        </mc:AlternateContent>
        <mc:AlternateContent xmlns:mc="http://schemas.openxmlformats.org/markup-compatibility/2006">
          <mc:Choice Requires="x14">
            <control shapeId="7219" r:id="rId51" name="Drop Down 51">
              <controlPr defaultSize="0" autoLine="0" autoPict="0">
                <anchor moveWithCells="1">
                  <from>
                    <xdr:col>6</xdr:col>
                    <xdr:colOff>19050</xdr:colOff>
                    <xdr:row>71</xdr:row>
                    <xdr:rowOff>200025</xdr:rowOff>
                  </from>
                  <to>
                    <xdr:col>7</xdr:col>
                    <xdr:colOff>0</xdr:colOff>
                    <xdr:row>72</xdr:row>
                    <xdr:rowOff>200025</xdr:rowOff>
                  </to>
                </anchor>
              </controlPr>
            </control>
          </mc:Choice>
        </mc:AlternateContent>
        <mc:AlternateContent xmlns:mc="http://schemas.openxmlformats.org/markup-compatibility/2006">
          <mc:Choice Requires="x14">
            <control shapeId="7228" r:id="rId52" name="Drop Down 60">
              <controlPr defaultSize="0" autoLine="0" autoPict="0">
                <anchor moveWithCells="1">
                  <from>
                    <xdr:col>1</xdr:col>
                    <xdr:colOff>28575</xdr:colOff>
                    <xdr:row>171</xdr:row>
                    <xdr:rowOff>142875</xdr:rowOff>
                  </from>
                  <to>
                    <xdr:col>2</xdr:col>
                    <xdr:colOff>0</xdr:colOff>
                    <xdr:row>172</xdr:row>
                    <xdr:rowOff>200025</xdr:rowOff>
                  </to>
                </anchor>
              </controlPr>
            </control>
          </mc:Choice>
        </mc:AlternateContent>
        <mc:AlternateContent xmlns:mc="http://schemas.openxmlformats.org/markup-compatibility/2006">
          <mc:Choice Requires="x14">
            <control shapeId="7229" r:id="rId53" name="Drop Down 61">
              <controlPr defaultSize="0" autoLine="0" autoPict="0">
                <anchor moveWithCells="1">
                  <from>
                    <xdr:col>1</xdr:col>
                    <xdr:colOff>28575</xdr:colOff>
                    <xdr:row>172</xdr:row>
                    <xdr:rowOff>190500</xdr:rowOff>
                  </from>
                  <to>
                    <xdr:col>2</xdr:col>
                    <xdr:colOff>0</xdr:colOff>
                    <xdr:row>174</xdr:row>
                    <xdr:rowOff>0</xdr:rowOff>
                  </to>
                </anchor>
              </controlPr>
            </control>
          </mc:Choice>
        </mc:AlternateContent>
        <mc:AlternateContent xmlns:mc="http://schemas.openxmlformats.org/markup-compatibility/2006">
          <mc:Choice Requires="x14">
            <control shapeId="7230" r:id="rId54" name="Drop Down 62">
              <controlPr defaultSize="0" autoLine="0" autoPict="0">
                <anchor moveWithCells="1">
                  <from>
                    <xdr:col>1</xdr:col>
                    <xdr:colOff>28575</xdr:colOff>
                    <xdr:row>173</xdr:row>
                    <xdr:rowOff>200025</xdr:rowOff>
                  </from>
                  <to>
                    <xdr:col>2</xdr:col>
                    <xdr:colOff>0</xdr:colOff>
                    <xdr:row>175</xdr:row>
                    <xdr:rowOff>0</xdr:rowOff>
                  </to>
                </anchor>
              </controlPr>
            </control>
          </mc:Choice>
        </mc:AlternateContent>
        <mc:AlternateContent xmlns:mc="http://schemas.openxmlformats.org/markup-compatibility/2006">
          <mc:Choice Requires="x14">
            <control shapeId="7231" r:id="rId55" name="Drop Down 63">
              <controlPr defaultSize="0" autoLine="0" autoPict="0">
                <anchor moveWithCells="1">
                  <from>
                    <xdr:col>1</xdr:col>
                    <xdr:colOff>28575</xdr:colOff>
                    <xdr:row>174</xdr:row>
                    <xdr:rowOff>200025</xdr:rowOff>
                  </from>
                  <to>
                    <xdr:col>2</xdr:col>
                    <xdr:colOff>0</xdr:colOff>
                    <xdr:row>176</xdr:row>
                    <xdr:rowOff>0</xdr:rowOff>
                  </to>
                </anchor>
              </controlPr>
            </control>
          </mc:Choice>
        </mc:AlternateContent>
        <mc:AlternateContent xmlns:mc="http://schemas.openxmlformats.org/markup-compatibility/2006">
          <mc:Choice Requires="x14">
            <control shapeId="7232" r:id="rId56" name="Drop Down 64">
              <controlPr defaultSize="0" autoLine="0" autoPict="0">
                <anchor moveWithCells="1">
                  <from>
                    <xdr:col>1</xdr:col>
                    <xdr:colOff>28575</xdr:colOff>
                    <xdr:row>175</xdr:row>
                    <xdr:rowOff>200025</xdr:rowOff>
                  </from>
                  <to>
                    <xdr:col>2</xdr:col>
                    <xdr:colOff>0</xdr:colOff>
                    <xdr:row>177</xdr:row>
                    <xdr:rowOff>9525</xdr:rowOff>
                  </to>
                </anchor>
              </controlPr>
            </control>
          </mc:Choice>
        </mc:AlternateContent>
        <mc:AlternateContent xmlns:mc="http://schemas.openxmlformats.org/markup-compatibility/2006">
          <mc:Choice Requires="x14">
            <control shapeId="7233" r:id="rId57" name="Drop Down 65">
              <controlPr defaultSize="0" autoLine="0" autoPict="0">
                <anchor moveWithCells="1">
                  <from>
                    <xdr:col>1</xdr:col>
                    <xdr:colOff>28575</xdr:colOff>
                    <xdr:row>177</xdr:row>
                    <xdr:rowOff>0</xdr:rowOff>
                  </from>
                  <to>
                    <xdr:col>2</xdr:col>
                    <xdr:colOff>0</xdr:colOff>
                    <xdr:row>178</xdr:row>
                    <xdr:rowOff>9525</xdr:rowOff>
                  </to>
                </anchor>
              </controlPr>
            </control>
          </mc:Choice>
        </mc:AlternateContent>
        <mc:AlternateContent xmlns:mc="http://schemas.openxmlformats.org/markup-compatibility/2006">
          <mc:Choice Requires="x14">
            <control shapeId="7234" r:id="rId58" name="Drop Down 66">
              <controlPr defaultSize="0" autoLine="0" autoPict="0">
                <anchor moveWithCells="1">
                  <from>
                    <xdr:col>1</xdr:col>
                    <xdr:colOff>28575</xdr:colOff>
                    <xdr:row>178</xdr:row>
                    <xdr:rowOff>0</xdr:rowOff>
                  </from>
                  <to>
                    <xdr:col>2</xdr:col>
                    <xdr:colOff>0</xdr:colOff>
                    <xdr:row>179</xdr:row>
                    <xdr:rowOff>9525</xdr:rowOff>
                  </to>
                </anchor>
              </controlPr>
            </control>
          </mc:Choice>
        </mc:AlternateContent>
        <mc:AlternateContent xmlns:mc="http://schemas.openxmlformats.org/markup-compatibility/2006">
          <mc:Choice Requires="x14">
            <control shapeId="7235" r:id="rId59" name="Drop Down 67">
              <controlPr defaultSize="0" autoLine="0" autoPict="0">
                <anchor moveWithCells="1">
                  <from>
                    <xdr:col>6</xdr:col>
                    <xdr:colOff>19050</xdr:colOff>
                    <xdr:row>171</xdr:row>
                    <xdr:rowOff>142875</xdr:rowOff>
                  </from>
                  <to>
                    <xdr:col>7</xdr:col>
                    <xdr:colOff>0</xdr:colOff>
                    <xdr:row>172</xdr:row>
                    <xdr:rowOff>200025</xdr:rowOff>
                  </to>
                </anchor>
              </controlPr>
            </control>
          </mc:Choice>
        </mc:AlternateContent>
        <mc:AlternateContent xmlns:mc="http://schemas.openxmlformats.org/markup-compatibility/2006">
          <mc:Choice Requires="x14">
            <control shapeId="7236" r:id="rId60" name="Drop Down 68">
              <controlPr defaultSize="0" autoLine="0" autoPict="0">
                <anchor moveWithCells="1">
                  <from>
                    <xdr:col>6</xdr:col>
                    <xdr:colOff>19050</xdr:colOff>
                    <xdr:row>172</xdr:row>
                    <xdr:rowOff>190500</xdr:rowOff>
                  </from>
                  <to>
                    <xdr:col>7</xdr:col>
                    <xdr:colOff>0</xdr:colOff>
                    <xdr:row>174</xdr:row>
                    <xdr:rowOff>0</xdr:rowOff>
                  </to>
                </anchor>
              </controlPr>
            </control>
          </mc:Choice>
        </mc:AlternateContent>
        <mc:AlternateContent xmlns:mc="http://schemas.openxmlformats.org/markup-compatibility/2006">
          <mc:Choice Requires="x14">
            <control shapeId="7237" r:id="rId61" name="Drop Down 69">
              <controlPr defaultSize="0" autoLine="0" autoPict="0">
                <anchor moveWithCells="1">
                  <from>
                    <xdr:col>6</xdr:col>
                    <xdr:colOff>19050</xdr:colOff>
                    <xdr:row>173</xdr:row>
                    <xdr:rowOff>200025</xdr:rowOff>
                  </from>
                  <to>
                    <xdr:col>7</xdr:col>
                    <xdr:colOff>0</xdr:colOff>
                    <xdr:row>175</xdr:row>
                    <xdr:rowOff>0</xdr:rowOff>
                  </to>
                </anchor>
              </controlPr>
            </control>
          </mc:Choice>
        </mc:AlternateContent>
        <mc:AlternateContent xmlns:mc="http://schemas.openxmlformats.org/markup-compatibility/2006">
          <mc:Choice Requires="x14">
            <control shapeId="7238" r:id="rId62" name="Drop Down 70">
              <controlPr defaultSize="0" autoLine="0" autoPict="0">
                <anchor moveWithCells="1">
                  <from>
                    <xdr:col>6</xdr:col>
                    <xdr:colOff>19050</xdr:colOff>
                    <xdr:row>174</xdr:row>
                    <xdr:rowOff>200025</xdr:rowOff>
                  </from>
                  <to>
                    <xdr:col>7</xdr:col>
                    <xdr:colOff>0</xdr:colOff>
                    <xdr:row>176</xdr:row>
                    <xdr:rowOff>0</xdr:rowOff>
                  </to>
                </anchor>
              </controlPr>
            </control>
          </mc:Choice>
        </mc:AlternateContent>
        <mc:AlternateContent xmlns:mc="http://schemas.openxmlformats.org/markup-compatibility/2006">
          <mc:Choice Requires="x14">
            <control shapeId="7239" r:id="rId63" name="Drop Down 71">
              <controlPr defaultSize="0" autoLine="0" autoPict="0">
                <anchor moveWithCells="1">
                  <from>
                    <xdr:col>6</xdr:col>
                    <xdr:colOff>19050</xdr:colOff>
                    <xdr:row>175</xdr:row>
                    <xdr:rowOff>200025</xdr:rowOff>
                  </from>
                  <to>
                    <xdr:col>7</xdr:col>
                    <xdr:colOff>0</xdr:colOff>
                    <xdr:row>177</xdr:row>
                    <xdr:rowOff>9525</xdr:rowOff>
                  </to>
                </anchor>
              </controlPr>
            </control>
          </mc:Choice>
        </mc:AlternateContent>
        <mc:AlternateContent xmlns:mc="http://schemas.openxmlformats.org/markup-compatibility/2006">
          <mc:Choice Requires="x14">
            <control shapeId="7240" r:id="rId64" name="Drop Down 72">
              <controlPr defaultSize="0" autoLine="0" autoPict="0">
                <anchor moveWithCells="1">
                  <from>
                    <xdr:col>6</xdr:col>
                    <xdr:colOff>19050</xdr:colOff>
                    <xdr:row>177</xdr:row>
                    <xdr:rowOff>0</xdr:rowOff>
                  </from>
                  <to>
                    <xdr:col>7</xdr:col>
                    <xdr:colOff>0</xdr:colOff>
                    <xdr:row>178</xdr:row>
                    <xdr:rowOff>9525</xdr:rowOff>
                  </to>
                </anchor>
              </controlPr>
            </control>
          </mc:Choice>
        </mc:AlternateContent>
        <mc:AlternateContent xmlns:mc="http://schemas.openxmlformats.org/markup-compatibility/2006">
          <mc:Choice Requires="x14">
            <control shapeId="7241" r:id="rId65" name="Drop Down 73">
              <controlPr defaultSize="0" autoLine="0" autoPict="0">
                <anchor moveWithCells="1">
                  <from>
                    <xdr:col>6</xdr:col>
                    <xdr:colOff>19050</xdr:colOff>
                    <xdr:row>178</xdr:row>
                    <xdr:rowOff>0</xdr:rowOff>
                  </from>
                  <to>
                    <xdr:col>7</xdr:col>
                    <xdr:colOff>0</xdr:colOff>
                    <xdr:row>179</xdr:row>
                    <xdr:rowOff>9525</xdr:rowOff>
                  </to>
                </anchor>
              </controlPr>
            </control>
          </mc:Choice>
        </mc:AlternateContent>
        <mc:AlternateContent xmlns:mc="http://schemas.openxmlformats.org/markup-compatibility/2006">
          <mc:Choice Requires="x14">
            <control shapeId="7242" r:id="rId66" name="Drop Down 74">
              <controlPr defaultSize="0" autoLine="0" autoPict="0">
                <anchor moveWithCells="1">
                  <from>
                    <xdr:col>1</xdr:col>
                    <xdr:colOff>28575</xdr:colOff>
                    <xdr:row>179</xdr:row>
                    <xdr:rowOff>0</xdr:rowOff>
                  </from>
                  <to>
                    <xdr:col>2</xdr:col>
                    <xdr:colOff>0</xdr:colOff>
                    <xdr:row>179</xdr:row>
                    <xdr:rowOff>209550</xdr:rowOff>
                  </to>
                </anchor>
              </controlPr>
            </control>
          </mc:Choice>
        </mc:AlternateContent>
        <mc:AlternateContent xmlns:mc="http://schemas.openxmlformats.org/markup-compatibility/2006">
          <mc:Choice Requires="x14">
            <control shapeId="7243" r:id="rId67" name="Drop Down 75">
              <controlPr defaultSize="0" autoLine="0" autoPict="0">
                <anchor moveWithCells="1">
                  <from>
                    <xdr:col>6</xdr:col>
                    <xdr:colOff>19050</xdr:colOff>
                    <xdr:row>179</xdr:row>
                    <xdr:rowOff>0</xdr:rowOff>
                  </from>
                  <to>
                    <xdr:col>7</xdr:col>
                    <xdr:colOff>0</xdr:colOff>
                    <xdr:row>179</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N22"/>
  <sheetViews>
    <sheetView showGridLines="0" zoomScale="120" zoomScaleSheetLayoutView="100" workbookViewId="0">
      <pane ySplit="2" topLeftCell="A3" activePane="bottomLeft" state="frozen"/>
      <selection pane="bottomLeft" activeCell="A3" sqref="A3"/>
    </sheetView>
  </sheetViews>
  <sheetFormatPr defaultRowHeight="18" customHeight="1" x14ac:dyDescent="0.2"/>
  <cols>
    <col min="1" max="1" width="18.5703125" style="1" bestFit="1" customWidth="1"/>
    <col min="2" max="2" width="15.28515625" style="1" bestFit="1" customWidth="1"/>
    <col min="3" max="3" width="6.7109375" style="1" bestFit="1" customWidth="1"/>
    <col min="4" max="4" width="8.5703125" style="1" customWidth="1"/>
    <col min="5" max="5" width="7.85546875" style="1" customWidth="1"/>
    <col min="6" max="6" width="11.5703125" style="1" customWidth="1"/>
    <col min="7" max="7" width="13.7109375" style="1" customWidth="1"/>
    <col min="8" max="8" width="8.5703125" style="1" bestFit="1" customWidth="1"/>
    <col min="9" max="9" width="11.28515625" style="1" customWidth="1"/>
    <col min="10" max="10" width="12.7109375" style="1" hidden="1" customWidth="1"/>
    <col min="11" max="11" width="13.42578125" style="1" hidden="1" customWidth="1"/>
    <col min="12" max="12" width="11.28515625" style="68" customWidth="1"/>
    <col min="13" max="14" width="9.140625" style="1" hidden="1" customWidth="1"/>
    <col min="15" max="16384" width="9.140625" style="1"/>
  </cols>
  <sheetData>
    <row r="1" spans="1:14" ht="49.5" customHeight="1" x14ac:dyDescent="0.2">
      <c r="A1" s="307" t="str">
        <f>""&amp;'Inventory Calculator'!I4&amp;" Feed Input"</f>
        <v xml:space="preserve"> Feed Input</v>
      </c>
      <c r="B1" s="307"/>
      <c r="C1" s="307"/>
      <c r="D1" s="307"/>
      <c r="E1" s="307"/>
      <c r="F1" s="307"/>
      <c r="G1" s="307"/>
      <c r="H1" s="307"/>
      <c r="I1" s="307"/>
      <c r="J1" s="307"/>
      <c r="K1" s="307"/>
      <c r="L1" s="307"/>
    </row>
    <row r="2" spans="1:14" ht="26.25" thickBot="1" x14ac:dyDescent="0.25">
      <c r="A2" s="2" t="s">
        <v>0</v>
      </c>
      <c r="B2" s="3" t="s">
        <v>11</v>
      </c>
      <c r="C2" s="4" t="s">
        <v>12</v>
      </c>
      <c r="D2" s="3" t="s">
        <v>79</v>
      </c>
      <c r="E2" s="2" t="s">
        <v>1</v>
      </c>
      <c r="F2" s="3" t="s">
        <v>149</v>
      </c>
      <c r="G2" s="2" t="s">
        <v>2</v>
      </c>
      <c r="H2" s="2" t="s">
        <v>4</v>
      </c>
      <c r="I2" s="3" t="s">
        <v>37</v>
      </c>
      <c r="J2" s="2" t="s">
        <v>3</v>
      </c>
      <c r="K2" s="2" t="s">
        <v>5</v>
      </c>
      <c r="L2" s="69" t="s">
        <v>38</v>
      </c>
      <c r="N2" s="1" t="s">
        <v>80</v>
      </c>
    </row>
    <row r="3" spans="1:14" ht="18" customHeight="1" x14ac:dyDescent="0.2">
      <c r="A3" s="5"/>
      <c r="B3" s="7"/>
      <c r="C3" s="8"/>
      <c r="D3" s="6"/>
      <c r="E3" s="7"/>
      <c r="F3" s="7"/>
      <c r="G3" s="123"/>
      <c r="H3" s="123"/>
      <c r="I3" s="9"/>
      <c r="J3" s="15"/>
      <c r="K3" s="15"/>
      <c r="L3" s="70"/>
      <c r="M3" s="1" t="str">
        <f>IF(E3&gt;0,1/E3,"")</f>
        <v/>
      </c>
      <c r="N3" s="1" t="str">
        <f>IF(A3&gt;0,D3/C3/E3*2000,"")</f>
        <v/>
      </c>
    </row>
    <row r="4" spans="1:14" ht="18" customHeight="1" thickBot="1" x14ac:dyDescent="0.25">
      <c r="A4" s="10"/>
      <c r="B4" s="12"/>
      <c r="C4" s="13"/>
      <c r="D4" s="11"/>
      <c r="E4" s="12"/>
      <c r="F4" s="12"/>
      <c r="G4" s="124"/>
      <c r="H4" s="124"/>
      <c r="I4" s="14"/>
      <c r="J4" s="15"/>
      <c r="K4" s="15"/>
      <c r="L4" s="71"/>
      <c r="M4" s="1" t="str">
        <f t="shared" ref="M4:M22" si="0">IF(E4&gt;0,1/E4,"")</f>
        <v/>
      </c>
      <c r="N4" s="1" t="str">
        <f t="shared" ref="N4:N22" si="1">IF(A4&gt;0,D4/C4/E4*2000,"")</f>
        <v/>
      </c>
    </row>
    <row r="5" spans="1:14" ht="18" customHeight="1" x14ac:dyDescent="0.2">
      <c r="A5" s="5"/>
      <c r="B5" s="7"/>
      <c r="C5" s="8"/>
      <c r="D5" s="6"/>
      <c r="E5" s="7"/>
      <c r="F5" s="7"/>
      <c r="G5" s="123"/>
      <c r="H5" s="123"/>
      <c r="I5" s="9"/>
      <c r="J5" s="15"/>
      <c r="K5" s="15"/>
      <c r="L5" s="70"/>
      <c r="M5" s="1" t="str">
        <f t="shared" si="0"/>
        <v/>
      </c>
      <c r="N5" s="1" t="str">
        <f t="shared" si="1"/>
        <v/>
      </c>
    </row>
    <row r="6" spans="1:14" ht="18" customHeight="1" thickBot="1" x14ac:dyDescent="0.25">
      <c r="A6" s="10"/>
      <c r="B6" s="12"/>
      <c r="C6" s="13"/>
      <c r="D6" s="11"/>
      <c r="E6" s="12"/>
      <c r="F6" s="12"/>
      <c r="G6" s="124"/>
      <c r="H6" s="124"/>
      <c r="I6" s="14"/>
      <c r="J6" s="15"/>
      <c r="K6" s="15"/>
      <c r="L6" s="71"/>
      <c r="M6" s="1" t="str">
        <f t="shared" si="0"/>
        <v/>
      </c>
      <c r="N6" s="1" t="str">
        <f t="shared" si="1"/>
        <v/>
      </c>
    </row>
    <row r="7" spans="1:14" ht="18" customHeight="1" x14ac:dyDescent="0.2">
      <c r="A7" s="5"/>
      <c r="B7" s="7"/>
      <c r="C7" s="8"/>
      <c r="D7" s="6"/>
      <c r="E7" s="7"/>
      <c r="F7" s="7"/>
      <c r="G7" s="123"/>
      <c r="H7" s="123"/>
      <c r="I7" s="9"/>
      <c r="J7" s="15"/>
      <c r="K7" s="15"/>
      <c r="L7" s="70"/>
      <c r="M7" s="1" t="str">
        <f t="shared" si="0"/>
        <v/>
      </c>
      <c r="N7" s="1" t="str">
        <f t="shared" si="1"/>
        <v/>
      </c>
    </row>
    <row r="8" spans="1:14" ht="18" customHeight="1" thickBot="1" x14ac:dyDescent="0.25">
      <c r="A8" s="10"/>
      <c r="B8" s="12"/>
      <c r="C8" s="13"/>
      <c r="D8" s="11"/>
      <c r="E8" s="12"/>
      <c r="F8" s="12"/>
      <c r="G8" s="124"/>
      <c r="H8" s="124"/>
      <c r="I8" s="14"/>
      <c r="J8" s="15" t="b">
        <v>0</v>
      </c>
      <c r="K8" s="15" t="b">
        <v>0</v>
      </c>
      <c r="L8" s="71"/>
      <c r="M8" s="1" t="str">
        <f t="shared" si="0"/>
        <v/>
      </c>
      <c r="N8" s="1" t="str">
        <f t="shared" si="1"/>
        <v/>
      </c>
    </row>
    <row r="9" spans="1:14" ht="18" customHeight="1" x14ac:dyDescent="0.2">
      <c r="A9" s="5"/>
      <c r="B9" s="7"/>
      <c r="C9" s="8"/>
      <c r="D9" s="6"/>
      <c r="E9" s="7"/>
      <c r="F9" s="7"/>
      <c r="G9" s="123"/>
      <c r="H9" s="123"/>
      <c r="I9" s="9"/>
      <c r="J9" s="15" t="b">
        <v>0</v>
      </c>
      <c r="K9" s="15" t="b">
        <v>0</v>
      </c>
      <c r="L9" s="70"/>
      <c r="M9" s="1" t="str">
        <f t="shared" si="0"/>
        <v/>
      </c>
      <c r="N9" s="1" t="str">
        <f t="shared" si="1"/>
        <v/>
      </c>
    </row>
    <row r="10" spans="1:14" ht="18" customHeight="1" thickBot="1" x14ac:dyDescent="0.25">
      <c r="A10" s="10"/>
      <c r="B10" s="12"/>
      <c r="C10" s="13"/>
      <c r="D10" s="11"/>
      <c r="E10" s="12"/>
      <c r="F10" s="12"/>
      <c r="G10" s="124"/>
      <c r="H10" s="124"/>
      <c r="I10" s="14"/>
      <c r="J10" s="15" t="b">
        <v>0</v>
      </c>
      <c r="K10" s="15" t="b">
        <v>0</v>
      </c>
      <c r="L10" s="71"/>
      <c r="M10" s="1" t="str">
        <f t="shared" si="0"/>
        <v/>
      </c>
      <c r="N10" s="1" t="str">
        <f t="shared" si="1"/>
        <v/>
      </c>
    </row>
    <row r="11" spans="1:14" ht="18" customHeight="1" x14ac:dyDescent="0.2">
      <c r="A11" s="5"/>
      <c r="B11" s="7"/>
      <c r="C11" s="8"/>
      <c r="D11" s="6"/>
      <c r="E11" s="7"/>
      <c r="F11" s="7"/>
      <c r="G11" s="123"/>
      <c r="H11" s="123"/>
      <c r="I11" s="9"/>
      <c r="J11" s="15" t="b">
        <v>0</v>
      </c>
      <c r="K11" s="15" t="b">
        <v>0</v>
      </c>
      <c r="L11" s="70"/>
      <c r="M11" s="1" t="str">
        <f t="shared" si="0"/>
        <v/>
      </c>
      <c r="N11" s="1" t="str">
        <f t="shared" si="1"/>
        <v/>
      </c>
    </row>
    <row r="12" spans="1:14" ht="18" customHeight="1" thickBot="1" x14ac:dyDescent="0.25">
      <c r="A12" s="10"/>
      <c r="B12" s="12"/>
      <c r="C12" s="13"/>
      <c r="D12" s="11"/>
      <c r="E12" s="12"/>
      <c r="F12" s="12"/>
      <c r="G12" s="124"/>
      <c r="H12" s="124"/>
      <c r="I12" s="14"/>
      <c r="J12" s="15" t="b">
        <v>0</v>
      </c>
      <c r="K12" s="15" t="b">
        <v>0</v>
      </c>
      <c r="L12" s="71"/>
      <c r="M12" s="1" t="str">
        <f t="shared" si="0"/>
        <v/>
      </c>
      <c r="N12" s="1" t="str">
        <f t="shared" si="1"/>
        <v/>
      </c>
    </row>
    <row r="13" spans="1:14" ht="18" customHeight="1" x14ac:dyDescent="0.2">
      <c r="A13" s="5"/>
      <c r="B13" s="7"/>
      <c r="C13" s="8"/>
      <c r="D13" s="6"/>
      <c r="E13" s="7"/>
      <c r="F13" s="7"/>
      <c r="G13" s="123"/>
      <c r="H13" s="123"/>
      <c r="I13" s="9"/>
      <c r="J13" s="15" t="b">
        <v>0</v>
      </c>
      <c r="K13" s="15" t="b">
        <v>0</v>
      </c>
      <c r="L13" s="70"/>
      <c r="M13" s="1" t="str">
        <f t="shared" si="0"/>
        <v/>
      </c>
      <c r="N13" s="1" t="str">
        <f t="shared" si="1"/>
        <v/>
      </c>
    </row>
    <row r="14" spans="1:14" ht="18" customHeight="1" thickBot="1" x14ac:dyDescent="0.25">
      <c r="A14" s="10"/>
      <c r="B14" s="12"/>
      <c r="C14" s="13"/>
      <c r="D14" s="11"/>
      <c r="E14" s="12"/>
      <c r="F14" s="12"/>
      <c r="G14" s="124"/>
      <c r="H14" s="124"/>
      <c r="I14" s="14"/>
      <c r="J14" s="15" t="b">
        <v>0</v>
      </c>
      <c r="K14" s="15" t="b">
        <v>0</v>
      </c>
      <c r="L14" s="71"/>
      <c r="M14" s="1" t="str">
        <f t="shared" si="0"/>
        <v/>
      </c>
      <c r="N14" s="1" t="str">
        <f t="shared" si="1"/>
        <v/>
      </c>
    </row>
    <row r="15" spans="1:14" ht="18" customHeight="1" x14ac:dyDescent="0.2">
      <c r="A15" s="5"/>
      <c r="B15" s="7"/>
      <c r="C15" s="8"/>
      <c r="D15" s="6"/>
      <c r="E15" s="7"/>
      <c r="F15" s="7"/>
      <c r="G15" s="123"/>
      <c r="H15" s="123"/>
      <c r="I15" s="9"/>
      <c r="J15" s="15" t="b">
        <v>0</v>
      </c>
      <c r="K15" s="15" t="b">
        <v>0</v>
      </c>
      <c r="L15" s="70"/>
      <c r="M15" s="1" t="str">
        <f t="shared" si="0"/>
        <v/>
      </c>
      <c r="N15" s="1" t="str">
        <f t="shared" si="1"/>
        <v/>
      </c>
    </row>
    <row r="16" spans="1:14" ht="18" customHeight="1" thickBot="1" x14ac:dyDescent="0.25">
      <c r="A16" s="10"/>
      <c r="B16" s="12"/>
      <c r="C16" s="13"/>
      <c r="D16" s="11"/>
      <c r="E16" s="12"/>
      <c r="F16" s="12"/>
      <c r="G16" s="124"/>
      <c r="H16" s="124"/>
      <c r="I16" s="14"/>
      <c r="J16" s="15" t="b">
        <v>0</v>
      </c>
      <c r="K16" s="15" t="b">
        <v>0</v>
      </c>
      <c r="L16" s="71"/>
      <c r="M16" s="1" t="str">
        <f t="shared" si="0"/>
        <v/>
      </c>
      <c r="N16" s="1" t="str">
        <f t="shared" si="1"/>
        <v/>
      </c>
    </row>
    <row r="17" spans="1:14" ht="18" customHeight="1" x14ac:dyDescent="0.2">
      <c r="A17" s="5"/>
      <c r="B17" s="7"/>
      <c r="C17" s="8"/>
      <c r="D17" s="6"/>
      <c r="E17" s="7"/>
      <c r="F17" s="7"/>
      <c r="G17" s="123"/>
      <c r="H17" s="123"/>
      <c r="I17" s="9"/>
      <c r="J17" s="15" t="b">
        <v>0</v>
      </c>
      <c r="K17" s="15" t="b">
        <v>0</v>
      </c>
      <c r="L17" s="70"/>
      <c r="M17" s="1" t="str">
        <f t="shared" si="0"/>
        <v/>
      </c>
      <c r="N17" s="1" t="str">
        <f t="shared" si="1"/>
        <v/>
      </c>
    </row>
    <row r="18" spans="1:14" ht="18" customHeight="1" thickBot="1" x14ac:dyDescent="0.25">
      <c r="A18" s="10"/>
      <c r="B18" s="12"/>
      <c r="C18" s="13"/>
      <c r="D18" s="11"/>
      <c r="E18" s="12"/>
      <c r="F18" s="12"/>
      <c r="G18" s="124"/>
      <c r="H18" s="124"/>
      <c r="I18" s="14"/>
      <c r="J18" s="15" t="b">
        <v>0</v>
      </c>
      <c r="K18" s="15" t="b">
        <v>0</v>
      </c>
      <c r="L18" s="71"/>
      <c r="M18" s="1" t="str">
        <f t="shared" si="0"/>
        <v/>
      </c>
      <c r="N18" s="1" t="str">
        <f t="shared" si="1"/>
        <v/>
      </c>
    </row>
    <row r="19" spans="1:14" ht="18" customHeight="1" x14ac:dyDescent="0.2">
      <c r="A19" s="5"/>
      <c r="B19" s="7"/>
      <c r="C19" s="8"/>
      <c r="D19" s="6"/>
      <c r="E19" s="7"/>
      <c r="F19" s="7"/>
      <c r="G19" s="123"/>
      <c r="H19" s="123"/>
      <c r="I19" s="9"/>
      <c r="J19" s="15" t="b">
        <v>0</v>
      </c>
      <c r="K19" s="15" t="b">
        <v>0</v>
      </c>
      <c r="L19" s="70"/>
      <c r="M19" s="1" t="str">
        <f t="shared" si="0"/>
        <v/>
      </c>
      <c r="N19" s="1" t="str">
        <f t="shared" si="1"/>
        <v/>
      </c>
    </row>
    <row r="20" spans="1:14" ht="18" customHeight="1" thickBot="1" x14ac:dyDescent="0.25">
      <c r="A20" s="10"/>
      <c r="B20" s="12"/>
      <c r="C20" s="13"/>
      <c r="D20" s="11"/>
      <c r="E20" s="12"/>
      <c r="F20" s="12"/>
      <c r="G20" s="124"/>
      <c r="H20" s="124"/>
      <c r="I20" s="14"/>
      <c r="J20" s="15" t="b">
        <v>0</v>
      </c>
      <c r="K20" s="15" t="b">
        <v>0</v>
      </c>
      <c r="L20" s="71"/>
      <c r="M20" s="1" t="str">
        <f t="shared" si="0"/>
        <v/>
      </c>
      <c r="N20" s="1" t="str">
        <f t="shared" si="1"/>
        <v/>
      </c>
    </row>
    <row r="21" spans="1:14" ht="18" customHeight="1" x14ac:dyDescent="0.2">
      <c r="A21" s="5"/>
      <c r="B21" s="7"/>
      <c r="C21" s="8"/>
      <c r="D21" s="6"/>
      <c r="E21" s="7"/>
      <c r="F21" s="7"/>
      <c r="G21" s="123"/>
      <c r="H21" s="123"/>
      <c r="I21" s="9"/>
      <c r="J21" s="15" t="b">
        <v>0</v>
      </c>
      <c r="K21" s="15" t="b">
        <v>0</v>
      </c>
      <c r="L21" s="70"/>
      <c r="M21" s="1" t="str">
        <f t="shared" si="0"/>
        <v/>
      </c>
      <c r="N21" s="1" t="str">
        <f t="shared" si="1"/>
        <v/>
      </c>
    </row>
    <row r="22" spans="1:14" ht="18" customHeight="1" thickBot="1" x14ac:dyDescent="0.25">
      <c r="A22" s="10"/>
      <c r="B22" s="12"/>
      <c r="C22" s="13"/>
      <c r="D22" s="11"/>
      <c r="E22" s="12"/>
      <c r="F22" s="12"/>
      <c r="G22" s="124"/>
      <c r="H22" s="124"/>
      <c r="I22" s="14"/>
      <c r="J22" s="15" t="b">
        <v>0</v>
      </c>
      <c r="K22" s="15" t="b">
        <v>0</v>
      </c>
      <c r="L22" s="71"/>
      <c r="M22" s="1" t="str">
        <f t="shared" si="0"/>
        <v/>
      </c>
      <c r="N22" s="1" t="str">
        <f t="shared" si="1"/>
        <v/>
      </c>
    </row>
  </sheetData>
  <sheetProtection password="D040" sheet="1" objects="1" scenarios="1"/>
  <mergeCells count="1">
    <mergeCell ref="A1:L1"/>
  </mergeCells>
  <phoneticPr fontId="0" type="noConversion"/>
  <conditionalFormatting sqref="L3 L5 L7 L9 L11 L13 L15 L17 L19 L21">
    <cfRule type="cellIs" dxfId="6" priority="1" stopIfTrue="1" operator="greaterThan">
      <formula>0</formula>
    </cfRule>
  </conditionalFormatting>
  <conditionalFormatting sqref="L4 L6 L8 L10 L12 L14 L16 L18 L20 L22">
    <cfRule type="cellIs" dxfId="5" priority="2" stopIfTrue="1" operator="greaterThan">
      <formula>0</formula>
    </cfRule>
  </conditionalFormatting>
  <pageMargins left="0.75" right="0.75" top="1" bottom="1" header="0.5" footer="0.5"/>
  <pageSetup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142875</xdr:colOff>
                    <xdr:row>1</xdr:row>
                    <xdr:rowOff>266700</xdr:rowOff>
                  </from>
                  <to>
                    <xdr:col>6</xdr:col>
                    <xdr:colOff>628650</xdr:colOff>
                    <xdr:row>3</xdr:row>
                    <xdr:rowOff>66675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7</xdr:col>
                    <xdr:colOff>76200</xdr:colOff>
                    <xdr:row>1</xdr:row>
                    <xdr:rowOff>266700</xdr:rowOff>
                  </from>
                  <to>
                    <xdr:col>7</xdr:col>
                    <xdr:colOff>495300</xdr:colOff>
                    <xdr:row>3</xdr:row>
                    <xdr:rowOff>76200</xdr:rowOff>
                  </to>
                </anchor>
              </controlPr>
            </control>
          </mc:Choice>
        </mc:AlternateContent>
        <mc:AlternateContent xmlns:mc="http://schemas.openxmlformats.org/markup-compatibility/2006">
          <mc:Choice Requires="x14">
            <control shapeId="1074" r:id="rId6" name="Check Box 50">
              <controlPr defaultSize="0" autoFill="0" autoLine="0" autoPict="0">
                <anchor moveWithCells="1">
                  <from>
                    <xdr:col>6</xdr:col>
                    <xdr:colOff>142875</xdr:colOff>
                    <xdr:row>2</xdr:row>
                    <xdr:rowOff>152400</xdr:rowOff>
                  </from>
                  <to>
                    <xdr:col>6</xdr:col>
                    <xdr:colOff>628650</xdr:colOff>
                    <xdr:row>4</xdr:row>
                    <xdr:rowOff>57150</xdr:rowOff>
                  </to>
                </anchor>
              </controlPr>
            </control>
          </mc:Choice>
        </mc:AlternateContent>
        <mc:AlternateContent xmlns:mc="http://schemas.openxmlformats.org/markup-compatibility/2006">
          <mc:Choice Requires="x14">
            <control shapeId="1075" r:id="rId7" name="Check Box 51">
              <controlPr defaultSize="0" autoFill="0" autoLine="0" autoPict="0">
                <anchor moveWithCells="1">
                  <from>
                    <xdr:col>7</xdr:col>
                    <xdr:colOff>76200</xdr:colOff>
                    <xdr:row>2</xdr:row>
                    <xdr:rowOff>142875</xdr:rowOff>
                  </from>
                  <to>
                    <xdr:col>7</xdr:col>
                    <xdr:colOff>495300</xdr:colOff>
                    <xdr:row>4</xdr:row>
                    <xdr:rowOff>57150</xdr:rowOff>
                  </to>
                </anchor>
              </controlPr>
            </control>
          </mc:Choice>
        </mc:AlternateContent>
        <mc:AlternateContent xmlns:mc="http://schemas.openxmlformats.org/markup-compatibility/2006">
          <mc:Choice Requires="x14">
            <control shapeId="1076" r:id="rId8" name="Check Box 52">
              <controlPr defaultSize="0" autoFill="0" autoLine="0" autoPict="0">
                <anchor moveWithCells="1">
                  <from>
                    <xdr:col>6</xdr:col>
                    <xdr:colOff>142875</xdr:colOff>
                    <xdr:row>3</xdr:row>
                    <xdr:rowOff>152400</xdr:rowOff>
                  </from>
                  <to>
                    <xdr:col>6</xdr:col>
                    <xdr:colOff>628650</xdr:colOff>
                    <xdr:row>5</xdr:row>
                    <xdr:rowOff>57150</xdr:rowOff>
                  </to>
                </anchor>
              </controlPr>
            </control>
          </mc:Choice>
        </mc:AlternateContent>
        <mc:AlternateContent xmlns:mc="http://schemas.openxmlformats.org/markup-compatibility/2006">
          <mc:Choice Requires="x14">
            <control shapeId="1077" r:id="rId9" name="Check Box 53">
              <controlPr defaultSize="0" autoFill="0" autoLine="0" autoPict="0">
                <anchor moveWithCells="1">
                  <from>
                    <xdr:col>7</xdr:col>
                    <xdr:colOff>76200</xdr:colOff>
                    <xdr:row>3</xdr:row>
                    <xdr:rowOff>142875</xdr:rowOff>
                  </from>
                  <to>
                    <xdr:col>7</xdr:col>
                    <xdr:colOff>495300</xdr:colOff>
                    <xdr:row>5</xdr:row>
                    <xdr:rowOff>57150</xdr:rowOff>
                  </to>
                </anchor>
              </controlPr>
            </control>
          </mc:Choice>
        </mc:AlternateContent>
        <mc:AlternateContent xmlns:mc="http://schemas.openxmlformats.org/markup-compatibility/2006">
          <mc:Choice Requires="x14">
            <control shapeId="1078" r:id="rId10" name="Check Box 54">
              <controlPr defaultSize="0" autoFill="0" autoLine="0" autoPict="0">
                <anchor moveWithCells="1">
                  <from>
                    <xdr:col>6</xdr:col>
                    <xdr:colOff>142875</xdr:colOff>
                    <xdr:row>4</xdr:row>
                    <xdr:rowOff>152400</xdr:rowOff>
                  </from>
                  <to>
                    <xdr:col>6</xdr:col>
                    <xdr:colOff>628650</xdr:colOff>
                    <xdr:row>6</xdr:row>
                    <xdr:rowOff>57150</xdr:rowOff>
                  </to>
                </anchor>
              </controlPr>
            </control>
          </mc:Choice>
        </mc:AlternateContent>
        <mc:AlternateContent xmlns:mc="http://schemas.openxmlformats.org/markup-compatibility/2006">
          <mc:Choice Requires="x14">
            <control shapeId="1079" r:id="rId11" name="Check Box 55">
              <controlPr defaultSize="0" autoFill="0" autoLine="0" autoPict="0">
                <anchor moveWithCells="1">
                  <from>
                    <xdr:col>7</xdr:col>
                    <xdr:colOff>76200</xdr:colOff>
                    <xdr:row>4</xdr:row>
                    <xdr:rowOff>142875</xdr:rowOff>
                  </from>
                  <to>
                    <xdr:col>7</xdr:col>
                    <xdr:colOff>495300</xdr:colOff>
                    <xdr:row>6</xdr:row>
                    <xdr:rowOff>57150</xdr:rowOff>
                  </to>
                </anchor>
              </controlPr>
            </control>
          </mc:Choice>
        </mc:AlternateContent>
        <mc:AlternateContent xmlns:mc="http://schemas.openxmlformats.org/markup-compatibility/2006">
          <mc:Choice Requires="x14">
            <control shapeId="1080" r:id="rId12" name="Check Box 56">
              <controlPr defaultSize="0" autoFill="0" autoLine="0" autoPict="0">
                <anchor moveWithCells="1">
                  <from>
                    <xdr:col>6</xdr:col>
                    <xdr:colOff>142875</xdr:colOff>
                    <xdr:row>5</xdr:row>
                    <xdr:rowOff>152400</xdr:rowOff>
                  </from>
                  <to>
                    <xdr:col>6</xdr:col>
                    <xdr:colOff>628650</xdr:colOff>
                    <xdr:row>7</xdr:row>
                    <xdr:rowOff>57150</xdr:rowOff>
                  </to>
                </anchor>
              </controlPr>
            </control>
          </mc:Choice>
        </mc:AlternateContent>
        <mc:AlternateContent xmlns:mc="http://schemas.openxmlformats.org/markup-compatibility/2006">
          <mc:Choice Requires="x14">
            <control shapeId="1081" r:id="rId13" name="Check Box 57">
              <controlPr defaultSize="0" autoFill="0" autoLine="0" autoPict="0">
                <anchor moveWithCells="1">
                  <from>
                    <xdr:col>7</xdr:col>
                    <xdr:colOff>76200</xdr:colOff>
                    <xdr:row>5</xdr:row>
                    <xdr:rowOff>142875</xdr:rowOff>
                  </from>
                  <to>
                    <xdr:col>7</xdr:col>
                    <xdr:colOff>495300</xdr:colOff>
                    <xdr:row>7</xdr:row>
                    <xdr:rowOff>57150</xdr:rowOff>
                  </to>
                </anchor>
              </controlPr>
            </control>
          </mc:Choice>
        </mc:AlternateContent>
        <mc:AlternateContent xmlns:mc="http://schemas.openxmlformats.org/markup-compatibility/2006">
          <mc:Choice Requires="x14">
            <control shapeId="1082" r:id="rId14" name="Check Box 58">
              <controlPr defaultSize="0" autoFill="0" autoLine="0" autoPict="0">
                <anchor moveWithCells="1">
                  <from>
                    <xdr:col>6</xdr:col>
                    <xdr:colOff>142875</xdr:colOff>
                    <xdr:row>6</xdr:row>
                    <xdr:rowOff>152400</xdr:rowOff>
                  </from>
                  <to>
                    <xdr:col>6</xdr:col>
                    <xdr:colOff>628650</xdr:colOff>
                    <xdr:row>8</xdr:row>
                    <xdr:rowOff>57150</xdr:rowOff>
                  </to>
                </anchor>
              </controlPr>
            </control>
          </mc:Choice>
        </mc:AlternateContent>
        <mc:AlternateContent xmlns:mc="http://schemas.openxmlformats.org/markup-compatibility/2006">
          <mc:Choice Requires="x14">
            <control shapeId="1083" r:id="rId15" name="Check Box 59">
              <controlPr defaultSize="0" autoFill="0" autoLine="0" autoPict="0">
                <anchor moveWithCells="1">
                  <from>
                    <xdr:col>7</xdr:col>
                    <xdr:colOff>76200</xdr:colOff>
                    <xdr:row>6</xdr:row>
                    <xdr:rowOff>142875</xdr:rowOff>
                  </from>
                  <to>
                    <xdr:col>7</xdr:col>
                    <xdr:colOff>495300</xdr:colOff>
                    <xdr:row>8</xdr:row>
                    <xdr:rowOff>57150</xdr:rowOff>
                  </to>
                </anchor>
              </controlPr>
            </control>
          </mc:Choice>
        </mc:AlternateContent>
        <mc:AlternateContent xmlns:mc="http://schemas.openxmlformats.org/markup-compatibility/2006">
          <mc:Choice Requires="x14">
            <control shapeId="1084" r:id="rId16" name="Check Box 60">
              <controlPr defaultSize="0" autoFill="0" autoLine="0" autoPict="0">
                <anchor moveWithCells="1">
                  <from>
                    <xdr:col>6</xdr:col>
                    <xdr:colOff>142875</xdr:colOff>
                    <xdr:row>7</xdr:row>
                    <xdr:rowOff>152400</xdr:rowOff>
                  </from>
                  <to>
                    <xdr:col>6</xdr:col>
                    <xdr:colOff>628650</xdr:colOff>
                    <xdr:row>9</xdr:row>
                    <xdr:rowOff>57150</xdr:rowOff>
                  </to>
                </anchor>
              </controlPr>
            </control>
          </mc:Choice>
        </mc:AlternateContent>
        <mc:AlternateContent xmlns:mc="http://schemas.openxmlformats.org/markup-compatibility/2006">
          <mc:Choice Requires="x14">
            <control shapeId="1085" r:id="rId17" name="Check Box 61">
              <controlPr defaultSize="0" autoFill="0" autoLine="0" autoPict="0">
                <anchor moveWithCells="1">
                  <from>
                    <xdr:col>7</xdr:col>
                    <xdr:colOff>76200</xdr:colOff>
                    <xdr:row>7</xdr:row>
                    <xdr:rowOff>142875</xdr:rowOff>
                  </from>
                  <to>
                    <xdr:col>7</xdr:col>
                    <xdr:colOff>495300</xdr:colOff>
                    <xdr:row>9</xdr:row>
                    <xdr:rowOff>57150</xdr:rowOff>
                  </to>
                </anchor>
              </controlPr>
            </control>
          </mc:Choice>
        </mc:AlternateContent>
        <mc:AlternateContent xmlns:mc="http://schemas.openxmlformats.org/markup-compatibility/2006">
          <mc:Choice Requires="x14">
            <control shapeId="1086" r:id="rId18" name="Check Box 62">
              <controlPr defaultSize="0" autoFill="0" autoLine="0" autoPict="0">
                <anchor moveWithCells="1">
                  <from>
                    <xdr:col>6</xdr:col>
                    <xdr:colOff>142875</xdr:colOff>
                    <xdr:row>8</xdr:row>
                    <xdr:rowOff>152400</xdr:rowOff>
                  </from>
                  <to>
                    <xdr:col>6</xdr:col>
                    <xdr:colOff>628650</xdr:colOff>
                    <xdr:row>10</xdr:row>
                    <xdr:rowOff>57150</xdr:rowOff>
                  </to>
                </anchor>
              </controlPr>
            </control>
          </mc:Choice>
        </mc:AlternateContent>
        <mc:AlternateContent xmlns:mc="http://schemas.openxmlformats.org/markup-compatibility/2006">
          <mc:Choice Requires="x14">
            <control shapeId="1087" r:id="rId19" name="Check Box 63">
              <controlPr defaultSize="0" autoFill="0" autoLine="0" autoPict="0">
                <anchor moveWithCells="1">
                  <from>
                    <xdr:col>7</xdr:col>
                    <xdr:colOff>76200</xdr:colOff>
                    <xdr:row>8</xdr:row>
                    <xdr:rowOff>142875</xdr:rowOff>
                  </from>
                  <to>
                    <xdr:col>7</xdr:col>
                    <xdr:colOff>495300</xdr:colOff>
                    <xdr:row>10</xdr:row>
                    <xdr:rowOff>57150</xdr:rowOff>
                  </to>
                </anchor>
              </controlPr>
            </control>
          </mc:Choice>
        </mc:AlternateContent>
        <mc:AlternateContent xmlns:mc="http://schemas.openxmlformats.org/markup-compatibility/2006">
          <mc:Choice Requires="x14">
            <control shapeId="1088" r:id="rId20" name="Check Box 64">
              <controlPr defaultSize="0" autoFill="0" autoLine="0" autoPict="0">
                <anchor moveWithCells="1">
                  <from>
                    <xdr:col>6</xdr:col>
                    <xdr:colOff>142875</xdr:colOff>
                    <xdr:row>9</xdr:row>
                    <xdr:rowOff>152400</xdr:rowOff>
                  </from>
                  <to>
                    <xdr:col>6</xdr:col>
                    <xdr:colOff>628650</xdr:colOff>
                    <xdr:row>11</xdr:row>
                    <xdr:rowOff>57150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7</xdr:col>
                    <xdr:colOff>76200</xdr:colOff>
                    <xdr:row>9</xdr:row>
                    <xdr:rowOff>142875</xdr:rowOff>
                  </from>
                  <to>
                    <xdr:col>7</xdr:col>
                    <xdr:colOff>495300</xdr:colOff>
                    <xdr:row>11</xdr:row>
                    <xdr:rowOff>57150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6</xdr:col>
                    <xdr:colOff>142875</xdr:colOff>
                    <xdr:row>10</xdr:row>
                    <xdr:rowOff>152400</xdr:rowOff>
                  </from>
                  <to>
                    <xdr:col>6</xdr:col>
                    <xdr:colOff>628650</xdr:colOff>
                    <xdr:row>12</xdr:row>
                    <xdr:rowOff>57150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7</xdr:col>
                    <xdr:colOff>76200</xdr:colOff>
                    <xdr:row>10</xdr:row>
                    <xdr:rowOff>142875</xdr:rowOff>
                  </from>
                  <to>
                    <xdr:col>7</xdr:col>
                    <xdr:colOff>495300</xdr:colOff>
                    <xdr:row>12</xdr:row>
                    <xdr:rowOff>57150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6</xdr:col>
                    <xdr:colOff>142875</xdr:colOff>
                    <xdr:row>11</xdr:row>
                    <xdr:rowOff>152400</xdr:rowOff>
                  </from>
                  <to>
                    <xdr:col>6</xdr:col>
                    <xdr:colOff>628650</xdr:colOff>
                    <xdr:row>13</xdr:row>
                    <xdr:rowOff>57150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7</xdr:col>
                    <xdr:colOff>76200</xdr:colOff>
                    <xdr:row>11</xdr:row>
                    <xdr:rowOff>142875</xdr:rowOff>
                  </from>
                  <to>
                    <xdr:col>7</xdr:col>
                    <xdr:colOff>495300</xdr:colOff>
                    <xdr:row>13</xdr:row>
                    <xdr:rowOff>57150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6</xdr:col>
                    <xdr:colOff>142875</xdr:colOff>
                    <xdr:row>12</xdr:row>
                    <xdr:rowOff>152400</xdr:rowOff>
                  </from>
                  <to>
                    <xdr:col>6</xdr:col>
                    <xdr:colOff>628650</xdr:colOff>
                    <xdr:row>14</xdr:row>
                    <xdr:rowOff>57150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7</xdr:col>
                    <xdr:colOff>76200</xdr:colOff>
                    <xdr:row>12</xdr:row>
                    <xdr:rowOff>142875</xdr:rowOff>
                  </from>
                  <to>
                    <xdr:col>7</xdr:col>
                    <xdr:colOff>495300</xdr:colOff>
                    <xdr:row>14</xdr:row>
                    <xdr:rowOff>57150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6</xdr:col>
                    <xdr:colOff>142875</xdr:colOff>
                    <xdr:row>13</xdr:row>
                    <xdr:rowOff>152400</xdr:rowOff>
                  </from>
                  <to>
                    <xdr:col>6</xdr:col>
                    <xdr:colOff>628650</xdr:colOff>
                    <xdr:row>15</xdr:row>
                    <xdr:rowOff>57150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7</xdr:col>
                    <xdr:colOff>76200</xdr:colOff>
                    <xdr:row>13</xdr:row>
                    <xdr:rowOff>142875</xdr:rowOff>
                  </from>
                  <to>
                    <xdr:col>7</xdr:col>
                    <xdr:colOff>495300</xdr:colOff>
                    <xdr:row>15</xdr:row>
                    <xdr:rowOff>57150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6</xdr:col>
                    <xdr:colOff>142875</xdr:colOff>
                    <xdr:row>14</xdr:row>
                    <xdr:rowOff>152400</xdr:rowOff>
                  </from>
                  <to>
                    <xdr:col>6</xdr:col>
                    <xdr:colOff>628650</xdr:colOff>
                    <xdr:row>16</xdr:row>
                    <xdr:rowOff>57150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7</xdr:col>
                    <xdr:colOff>76200</xdr:colOff>
                    <xdr:row>14</xdr:row>
                    <xdr:rowOff>142875</xdr:rowOff>
                  </from>
                  <to>
                    <xdr:col>7</xdr:col>
                    <xdr:colOff>495300</xdr:colOff>
                    <xdr:row>16</xdr:row>
                    <xdr:rowOff>57150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6</xdr:col>
                    <xdr:colOff>142875</xdr:colOff>
                    <xdr:row>15</xdr:row>
                    <xdr:rowOff>152400</xdr:rowOff>
                  </from>
                  <to>
                    <xdr:col>6</xdr:col>
                    <xdr:colOff>628650</xdr:colOff>
                    <xdr:row>17</xdr:row>
                    <xdr:rowOff>57150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7</xdr:col>
                    <xdr:colOff>76200</xdr:colOff>
                    <xdr:row>15</xdr:row>
                    <xdr:rowOff>142875</xdr:rowOff>
                  </from>
                  <to>
                    <xdr:col>7</xdr:col>
                    <xdr:colOff>495300</xdr:colOff>
                    <xdr:row>17</xdr:row>
                    <xdr:rowOff>57150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6</xdr:col>
                    <xdr:colOff>142875</xdr:colOff>
                    <xdr:row>16</xdr:row>
                    <xdr:rowOff>152400</xdr:rowOff>
                  </from>
                  <to>
                    <xdr:col>6</xdr:col>
                    <xdr:colOff>628650</xdr:colOff>
                    <xdr:row>18</xdr:row>
                    <xdr:rowOff>57150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7</xdr:col>
                    <xdr:colOff>76200</xdr:colOff>
                    <xdr:row>16</xdr:row>
                    <xdr:rowOff>142875</xdr:rowOff>
                  </from>
                  <to>
                    <xdr:col>7</xdr:col>
                    <xdr:colOff>495300</xdr:colOff>
                    <xdr:row>18</xdr:row>
                    <xdr:rowOff>57150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6</xdr:col>
                    <xdr:colOff>142875</xdr:colOff>
                    <xdr:row>17</xdr:row>
                    <xdr:rowOff>152400</xdr:rowOff>
                  </from>
                  <to>
                    <xdr:col>6</xdr:col>
                    <xdr:colOff>628650</xdr:colOff>
                    <xdr:row>19</xdr:row>
                    <xdr:rowOff>57150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7</xdr:col>
                    <xdr:colOff>76200</xdr:colOff>
                    <xdr:row>17</xdr:row>
                    <xdr:rowOff>142875</xdr:rowOff>
                  </from>
                  <to>
                    <xdr:col>7</xdr:col>
                    <xdr:colOff>495300</xdr:colOff>
                    <xdr:row>19</xdr:row>
                    <xdr:rowOff>57150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6</xdr:col>
                    <xdr:colOff>142875</xdr:colOff>
                    <xdr:row>18</xdr:row>
                    <xdr:rowOff>152400</xdr:rowOff>
                  </from>
                  <to>
                    <xdr:col>6</xdr:col>
                    <xdr:colOff>628650</xdr:colOff>
                    <xdr:row>20</xdr:row>
                    <xdr:rowOff>57150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7</xdr:col>
                    <xdr:colOff>76200</xdr:colOff>
                    <xdr:row>18</xdr:row>
                    <xdr:rowOff>142875</xdr:rowOff>
                  </from>
                  <to>
                    <xdr:col>7</xdr:col>
                    <xdr:colOff>495300</xdr:colOff>
                    <xdr:row>20</xdr:row>
                    <xdr:rowOff>57150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6</xdr:col>
                    <xdr:colOff>142875</xdr:colOff>
                    <xdr:row>19</xdr:row>
                    <xdr:rowOff>152400</xdr:rowOff>
                  </from>
                  <to>
                    <xdr:col>6</xdr:col>
                    <xdr:colOff>628650</xdr:colOff>
                    <xdr:row>21</xdr:row>
                    <xdr:rowOff>57150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7</xdr:col>
                    <xdr:colOff>76200</xdr:colOff>
                    <xdr:row>19</xdr:row>
                    <xdr:rowOff>142875</xdr:rowOff>
                  </from>
                  <to>
                    <xdr:col>7</xdr:col>
                    <xdr:colOff>495300</xdr:colOff>
                    <xdr:row>21</xdr:row>
                    <xdr:rowOff>57150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6</xdr:col>
                    <xdr:colOff>142875</xdr:colOff>
                    <xdr:row>20</xdr:row>
                    <xdr:rowOff>152400</xdr:rowOff>
                  </from>
                  <to>
                    <xdr:col>6</xdr:col>
                    <xdr:colOff>628650</xdr:colOff>
                    <xdr:row>22</xdr:row>
                    <xdr:rowOff>57150</xdr:rowOff>
                  </to>
                </anchor>
              </controlPr>
            </control>
          </mc:Choice>
        </mc:AlternateContent>
        <mc:AlternateContent xmlns:mc="http://schemas.openxmlformats.org/markup-compatibility/2006">
          <mc:Choice Requires="x14">
            <control shapeId="1111" r:id="rId43" name="Check Box 87">
              <controlPr defaultSize="0" autoFill="0" autoLine="0" autoPict="0">
                <anchor moveWithCells="1">
                  <from>
                    <xdr:col>7</xdr:col>
                    <xdr:colOff>76200</xdr:colOff>
                    <xdr:row>20</xdr:row>
                    <xdr:rowOff>142875</xdr:rowOff>
                  </from>
                  <to>
                    <xdr:col>7</xdr:col>
                    <xdr:colOff>495300</xdr:colOff>
                    <xdr:row>22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2:P170"/>
  <sheetViews>
    <sheetView showGridLines="0" topLeftCell="B1" zoomScale="80" zoomScaleNormal="80" zoomScaleSheetLayoutView="85" workbookViewId="0">
      <selection activeCell="C3" sqref="C3"/>
    </sheetView>
  </sheetViews>
  <sheetFormatPr defaultRowHeight="12.75" x14ac:dyDescent="0.2"/>
  <cols>
    <col min="1" max="1" width="0" style="17" hidden="1" customWidth="1"/>
    <col min="2" max="2" width="25.28515625" style="20" customWidth="1"/>
    <col min="3" max="12" width="9.7109375" style="17" customWidth="1"/>
    <col min="13" max="13" width="11.28515625" style="17" customWidth="1"/>
    <col min="14" max="14" width="9.7109375" style="17" customWidth="1"/>
    <col min="15" max="15" width="11.7109375" style="72" customWidth="1"/>
    <col min="16" max="16" width="11.28515625" style="17" customWidth="1"/>
    <col min="17" max="16384" width="9.140625" style="17"/>
  </cols>
  <sheetData>
    <row r="2" spans="1:16" s="1" customFormat="1" ht="21" thickBot="1" x14ac:dyDescent="0.35">
      <c r="B2" s="16"/>
      <c r="C2" s="308" t="str">
        <f>""&amp;'Inventory Calculator'!I4&amp;" Current Rations, daily DM lb / head"</f>
        <v xml:space="preserve"> Current Rations, daily DM lb / head</v>
      </c>
      <c r="D2" s="308"/>
      <c r="E2" s="308"/>
      <c r="F2" s="308"/>
      <c r="G2" s="308"/>
      <c r="H2" s="308"/>
      <c r="I2" s="308"/>
      <c r="J2" s="308"/>
      <c r="K2" s="308"/>
      <c r="L2" s="308"/>
      <c r="O2" s="67"/>
    </row>
    <row r="3" spans="1:16" s="1" customFormat="1" ht="38.25" x14ac:dyDescent="0.2">
      <c r="A3" s="17">
        <v>1</v>
      </c>
      <c r="B3" s="16" t="s">
        <v>0</v>
      </c>
      <c r="C3" s="21"/>
      <c r="D3" s="21"/>
      <c r="E3" s="21"/>
      <c r="F3" s="21"/>
      <c r="G3" s="21"/>
      <c r="H3" s="21"/>
      <c r="I3" s="21"/>
      <c r="J3" s="21"/>
      <c r="K3" s="21"/>
      <c r="L3" s="21"/>
      <c r="M3" s="110" t="str">
        <f>Feeds!I2</f>
        <v>Inventory      (DM tons)</v>
      </c>
      <c r="N3" s="110" t="s">
        <v>40</v>
      </c>
      <c r="O3" s="110" t="s">
        <v>39</v>
      </c>
      <c r="P3" s="110" t="s">
        <v>28</v>
      </c>
    </row>
    <row r="4" spans="1:16" x14ac:dyDescent="0.2">
      <c r="A4" s="17">
        <v>2</v>
      </c>
      <c r="B4" s="29" t="str">
        <f>IF(Feeds!A3&gt;0,Feeds!A3,"")</f>
        <v/>
      </c>
      <c r="C4" s="22"/>
      <c r="D4" s="22"/>
      <c r="E4" s="22"/>
      <c r="F4" s="22"/>
      <c r="G4" s="22"/>
      <c r="H4" s="22"/>
      <c r="I4" s="22"/>
      <c r="J4" s="22"/>
      <c r="K4" s="22"/>
      <c r="L4" s="22"/>
      <c r="M4" s="111" t="str">
        <f>IF(Feeds!I3&gt;0,Feeds!I3,"")</f>
        <v/>
      </c>
      <c r="N4" s="112" t="str">
        <f>IF(SUM(C4:L4)&gt;0,(SUMPRODUCT(C4:L4,C$27:L$27,C$28:L$28)/365)/2000/(1-Feeds!F3),"")</f>
        <v/>
      </c>
      <c r="O4" s="113" t="str">
        <f>IF(AND(P4&lt;&gt;"",P4&lt;&gt;0),P4+Feeds!L3,"")</f>
        <v/>
      </c>
      <c r="P4" s="111" t="str">
        <f>IF(N4&lt;&gt;"",Feeds!I3/'Current Rations'!N4,"")</f>
        <v/>
      </c>
    </row>
    <row r="5" spans="1:16" x14ac:dyDescent="0.2">
      <c r="A5" s="17">
        <v>3</v>
      </c>
      <c r="B5" s="29" t="str">
        <f>IF(Feeds!A4&gt;0,Feeds!A4,"")</f>
        <v/>
      </c>
      <c r="C5" s="23"/>
      <c r="D5" s="23"/>
      <c r="E5" s="23"/>
      <c r="F5" s="23"/>
      <c r="G5" s="23"/>
      <c r="H5" s="23"/>
      <c r="I5" s="23"/>
      <c r="J5" s="23"/>
      <c r="K5" s="23"/>
      <c r="L5" s="23"/>
      <c r="M5" s="114" t="str">
        <f>IF(Feeds!I4&gt;0,Feeds!I4,"")</f>
        <v/>
      </c>
      <c r="N5" s="115" t="str">
        <f>IF(SUM(C5:L5)&gt;0,(SUMPRODUCT(C5:L5,C$27:L$27,C$28:L$28)/365)/2000/(1-Feeds!F4),"")</f>
        <v/>
      </c>
      <c r="O5" s="116" t="str">
        <f>IF(AND(P5&lt;&gt;"",P5&lt;&gt;0),P5+Feeds!L4,"")</f>
        <v/>
      </c>
      <c r="P5" s="114" t="str">
        <f>IF(N5&lt;&gt;"",Feeds!I4/'Current Rations'!N5,"")</f>
        <v/>
      </c>
    </row>
    <row r="6" spans="1:16" x14ac:dyDescent="0.2">
      <c r="A6" s="17">
        <v>4</v>
      </c>
      <c r="B6" s="29" t="str">
        <f>IF(Feeds!A5&gt;0,Feeds!A5,"")</f>
        <v/>
      </c>
      <c r="C6" s="23"/>
      <c r="D6" s="23"/>
      <c r="E6" s="23"/>
      <c r="F6" s="23"/>
      <c r="G6" s="23"/>
      <c r="H6" s="23"/>
      <c r="I6" s="23"/>
      <c r="J6" s="23"/>
      <c r="K6" s="23"/>
      <c r="L6" s="23"/>
      <c r="M6" s="114" t="str">
        <f>IF(Feeds!I5&gt;0,Feeds!I5,"")</f>
        <v/>
      </c>
      <c r="N6" s="115" t="str">
        <f>IF(SUM(C6:L6)&gt;0,(SUMPRODUCT(C6:L6,C$27:L$27,C$28:L$28)/365)/2000/(1-Feeds!F5),"")</f>
        <v/>
      </c>
      <c r="O6" s="116" t="str">
        <f>IF(AND(P6&lt;&gt;"",P6&lt;&gt;0),P6+Feeds!L5,"")</f>
        <v/>
      </c>
      <c r="P6" s="114" t="str">
        <f>IF(N6&lt;&gt;"",Feeds!I5/'Current Rations'!N6,"")</f>
        <v/>
      </c>
    </row>
    <row r="7" spans="1:16" x14ac:dyDescent="0.2">
      <c r="A7" s="17">
        <v>5</v>
      </c>
      <c r="B7" s="29" t="str">
        <f>IF(Feeds!A6&gt;0,Feeds!A6,"")</f>
        <v/>
      </c>
      <c r="C7" s="23"/>
      <c r="D7" s="23"/>
      <c r="E7" s="23"/>
      <c r="F7" s="23"/>
      <c r="G7" s="23"/>
      <c r="H7" s="23"/>
      <c r="I7" s="23"/>
      <c r="J7" s="23"/>
      <c r="K7" s="23"/>
      <c r="L7" s="23"/>
      <c r="M7" s="114" t="str">
        <f>IF(Feeds!I6&gt;0,Feeds!I6,"")</f>
        <v/>
      </c>
      <c r="N7" s="115" t="str">
        <f>IF(SUM(C7:L7)&gt;0,(SUMPRODUCT(C7:L7,C$27:L$27,C$28:L$28)/365)/2000/(1-Feeds!F6),"")</f>
        <v/>
      </c>
      <c r="O7" s="116" t="str">
        <f>IF(AND(P7&lt;&gt;"",P7&lt;&gt;0),P7+Feeds!L6,"")</f>
        <v/>
      </c>
      <c r="P7" s="114" t="str">
        <f>IF(N7&lt;&gt;"",Feeds!I6/'Current Rations'!N7,"")</f>
        <v/>
      </c>
    </row>
    <row r="8" spans="1:16" x14ac:dyDescent="0.2">
      <c r="A8" s="17">
        <v>6</v>
      </c>
      <c r="B8" s="29" t="str">
        <f>IF(Feeds!A7&gt;0,Feeds!A7,"")</f>
        <v/>
      </c>
      <c r="C8" s="23"/>
      <c r="D8" s="23"/>
      <c r="E8" s="23"/>
      <c r="F8" s="23"/>
      <c r="G8" s="23"/>
      <c r="H8" s="23"/>
      <c r="I8" s="23"/>
      <c r="J8" s="23"/>
      <c r="K8" s="23"/>
      <c r="L8" s="23"/>
      <c r="M8" s="114" t="str">
        <f>IF(Feeds!I7&gt;0,Feeds!I7,"")</f>
        <v/>
      </c>
      <c r="N8" s="115" t="str">
        <f>IF(SUM(C8:L8)&gt;0,(SUMPRODUCT(C8:L8,C$27:L$27,C$28:L$28)/365)/2000/(1-Feeds!F7),"")</f>
        <v/>
      </c>
      <c r="O8" s="116" t="str">
        <f>IF(AND(P8&lt;&gt;"",P8&lt;&gt;0),P8+Feeds!L7,"")</f>
        <v/>
      </c>
      <c r="P8" s="114" t="str">
        <f>IF(N8&lt;&gt;"",Feeds!I7/'Current Rations'!N8,"")</f>
        <v/>
      </c>
    </row>
    <row r="9" spans="1:16" x14ac:dyDescent="0.2">
      <c r="A9" s="17">
        <v>7</v>
      </c>
      <c r="B9" s="29" t="str">
        <f>IF(Feeds!A8&gt;0,Feeds!A8,"")</f>
        <v/>
      </c>
      <c r="C9" s="23"/>
      <c r="D9" s="23"/>
      <c r="E9" s="23"/>
      <c r="F9" s="23"/>
      <c r="G9" s="23"/>
      <c r="H9" s="23"/>
      <c r="I9" s="23"/>
      <c r="J9" s="23"/>
      <c r="K9" s="23"/>
      <c r="L9" s="23"/>
      <c r="M9" s="114" t="str">
        <f>IF(Feeds!I8&gt;0,Feeds!I8,"")</f>
        <v/>
      </c>
      <c r="N9" s="115" t="str">
        <f>IF(SUM(C9:L9)&gt;0,(SUMPRODUCT(C9:L9,C$27:L$27,C$28:L$28)/365)/2000/(1-Feeds!F8),"")</f>
        <v/>
      </c>
      <c r="O9" s="116" t="str">
        <f>IF(AND(P9&lt;&gt;"",P9&lt;&gt;0),P9+Feeds!L8,"")</f>
        <v/>
      </c>
      <c r="P9" s="114" t="str">
        <f>IF(N9&lt;&gt;"",Feeds!I8/'Current Rations'!N9,"")</f>
        <v/>
      </c>
    </row>
    <row r="10" spans="1:16" x14ac:dyDescent="0.2">
      <c r="A10" s="17">
        <v>8</v>
      </c>
      <c r="B10" s="29" t="str">
        <f>IF(Feeds!A9&gt;0,Feeds!A9,"")</f>
        <v/>
      </c>
      <c r="C10" s="23"/>
      <c r="D10" s="23"/>
      <c r="E10" s="23"/>
      <c r="F10" s="23"/>
      <c r="G10" s="23"/>
      <c r="H10" s="23"/>
      <c r="I10" s="23"/>
      <c r="J10" s="23"/>
      <c r="K10" s="23"/>
      <c r="L10" s="23"/>
      <c r="M10" s="114" t="str">
        <f>IF(Feeds!I9&gt;0,Feeds!I9,"")</f>
        <v/>
      </c>
      <c r="N10" s="115" t="str">
        <f>IF(SUM(C10:L10)&gt;0,(SUMPRODUCT(C10:L10,C$27:L$27,C$28:L$28)/365)/2000/(1-Feeds!F9),"")</f>
        <v/>
      </c>
      <c r="O10" s="116" t="str">
        <f>IF(AND(P10&lt;&gt;"",P10&lt;&gt;0),P10+Feeds!L9,"")</f>
        <v/>
      </c>
      <c r="P10" s="114" t="str">
        <f>IF(N10&lt;&gt;"",Feeds!I9/'Current Rations'!N10,"")</f>
        <v/>
      </c>
    </row>
    <row r="11" spans="1:16" x14ac:dyDescent="0.2">
      <c r="A11" s="17">
        <v>9</v>
      </c>
      <c r="B11" s="29" t="str">
        <f>IF(Feeds!A10&gt;0,Feeds!A10,"")</f>
        <v/>
      </c>
      <c r="C11" s="23"/>
      <c r="D11" s="23"/>
      <c r="E11" s="23"/>
      <c r="F11" s="23"/>
      <c r="G11" s="23"/>
      <c r="H11" s="23"/>
      <c r="I11" s="23"/>
      <c r="J11" s="23"/>
      <c r="K11" s="23"/>
      <c r="L11" s="23"/>
      <c r="M11" s="114" t="str">
        <f>IF(Feeds!I10&gt;0,Feeds!I10,"")</f>
        <v/>
      </c>
      <c r="N11" s="115" t="str">
        <f>IF(SUM(C11:L11)&gt;0,(SUMPRODUCT(C11:L11,C$27:L$27,C$28:L$28)/365)/2000/(1-Feeds!F10),"")</f>
        <v/>
      </c>
      <c r="O11" s="116" t="str">
        <f>IF(AND(P11&lt;&gt;"",P11&lt;&gt;0),P11+Feeds!L10,"")</f>
        <v/>
      </c>
      <c r="P11" s="114" t="str">
        <f>IF(N11&lt;&gt;"",Feeds!I10/'Current Rations'!N11,"")</f>
        <v/>
      </c>
    </row>
    <row r="12" spans="1:16" x14ac:dyDescent="0.2">
      <c r="A12" s="17">
        <v>10</v>
      </c>
      <c r="B12" s="29" t="str">
        <f>IF(Feeds!A11&gt;0,Feeds!A11,"")</f>
        <v/>
      </c>
      <c r="C12" s="23"/>
      <c r="D12" s="23"/>
      <c r="E12" s="23"/>
      <c r="F12" s="23"/>
      <c r="G12" s="23"/>
      <c r="H12" s="23"/>
      <c r="I12" s="23"/>
      <c r="J12" s="23"/>
      <c r="K12" s="23"/>
      <c r="L12" s="23"/>
      <c r="M12" s="114" t="str">
        <f>IF(Feeds!I11&gt;0,Feeds!I11,"")</f>
        <v/>
      </c>
      <c r="N12" s="115" t="str">
        <f>IF(SUM(C12:L12)&gt;0,(SUMPRODUCT(C12:L12,C$27:L$27,C$28:L$28)/365)/2000/(1-Feeds!F11),"")</f>
        <v/>
      </c>
      <c r="O12" s="116" t="str">
        <f>IF(AND(P12&lt;&gt;"",P12&lt;&gt;0),P12+Feeds!L11,"")</f>
        <v/>
      </c>
      <c r="P12" s="114" t="str">
        <f>IF(N12&lt;&gt;"",Feeds!I11/'Current Rations'!N12,"")</f>
        <v/>
      </c>
    </row>
    <row r="13" spans="1:16" x14ac:dyDescent="0.2">
      <c r="A13" s="17">
        <v>11</v>
      </c>
      <c r="B13" s="29" t="str">
        <f>IF(Feeds!A12&gt;0,Feeds!A12,"")</f>
        <v/>
      </c>
      <c r="C13" s="23"/>
      <c r="D13" s="23"/>
      <c r="E13" s="23"/>
      <c r="F13" s="23"/>
      <c r="G13" s="23"/>
      <c r="H13" s="23"/>
      <c r="I13" s="23"/>
      <c r="J13" s="23"/>
      <c r="K13" s="23"/>
      <c r="L13" s="23"/>
      <c r="M13" s="114" t="str">
        <f>IF(Feeds!I12&gt;0,Feeds!I12,"")</f>
        <v/>
      </c>
      <c r="N13" s="115" t="str">
        <f>IF(SUM(C13:L13)&gt;0,(SUMPRODUCT(C13:L13,C$27:L$27,C$28:L$28)/365)/2000/(1-Feeds!F12),"")</f>
        <v/>
      </c>
      <c r="O13" s="116" t="str">
        <f>IF(AND(P13&lt;&gt;"",P13&lt;&gt;0),P13+Feeds!L12,"")</f>
        <v/>
      </c>
      <c r="P13" s="114" t="str">
        <f>IF(N13&lt;&gt;"",Feeds!I12/'Current Rations'!N13,"")</f>
        <v/>
      </c>
    </row>
    <row r="14" spans="1:16" x14ac:dyDescent="0.2">
      <c r="A14" s="17">
        <v>12</v>
      </c>
      <c r="B14" s="29" t="str">
        <f>IF(Feeds!A13&gt;0,Feeds!A13,"")</f>
        <v/>
      </c>
      <c r="C14" s="23"/>
      <c r="D14" s="23"/>
      <c r="E14" s="23"/>
      <c r="F14" s="23"/>
      <c r="G14" s="23"/>
      <c r="H14" s="23"/>
      <c r="I14" s="23"/>
      <c r="J14" s="23"/>
      <c r="K14" s="23"/>
      <c r="L14" s="23"/>
      <c r="M14" s="114" t="str">
        <f>IF(Feeds!I13&gt;0,Feeds!I13,"")</f>
        <v/>
      </c>
      <c r="N14" s="115" t="str">
        <f>IF(SUM(C14:L14)&gt;0,(SUMPRODUCT(C14:L14,C$27:L$27,C$28:L$28)/365)/2000/(1-Feeds!F13),"")</f>
        <v/>
      </c>
      <c r="O14" s="116" t="str">
        <f>IF(AND(P14&lt;&gt;"",P14&lt;&gt;0),P14+Feeds!L13,"")</f>
        <v/>
      </c>
      <c r="P14" s="114" t="str">
        <f>IF(N14&lt;&gt;"",Feeds!I13/'Current Rations'!N14,"")</f>
        <v/>
      </c>
    </row>
    <row r="15" spans="1:16" x14ac:dyDescent="0.2">
      <c r="A15" s="17">
        <v>13</v>
      </c>
      <c r="B15" s="29" t="str">
        <f>IF(Feeds!A14&gt;0,Feeds!A14,"")</f>
        <v/>
      </c>
      <c r="C15" s="23"/>
      <c r="D15" s="23"/>
      <c r="E15" s="23"/>
      <c r="F15" s="23"/>
      <c r="G15" s="23"/>
      <c r="H15" s="23"/>
      <c r="I15" s="23"/>
      <c r="J15" s="23"/>
      <c r="K15" s="23"/>
      <c r="L15" s="23"/>
      <c r="M15" s="114" t="str">
        <f>IF(Feeds!I14&gt;0,Feeds!I14,"")</f>
        <v/>
      </c>
      <c r="N15" s="115" t="str">
        <f>IF(SUM(C15:L15)&gt;0,(SUMPRODUCT(C15:L15,C$27:L$27,C$28:L$28)/365)/2000/(1-Feeds!F14),"")</f>
        <v/>
      </c>
      <c r="O15" s="116" t="str">
        <f>IF(AND(P15&lt;&gt;"",P15&lt;&gt;0),P15+Feeds!L14,"")</f>
        <v/>
      </c>
      <c r="P15" s="114" t="str">
        <f>IF(N15&lt;&gt;"",Feeds!I14/'Current Rations'!N15,"")</f>
        <v/>
      </c>
    </row>
    <row r="16" spans="1:16" x14ac:dyDescent="0.2">
      <c r="A16" s="17">
        <v>14</v>
      </c>
      <c r="B16" s="29" t="str">
        <f>IF(Feeds!A15&gt;0,Feeds!A15,"")</f>
        <v/>
      </c>
      <c r="C16" s="23"/>
      <c r="D16" s="23"/>
      <c r="E16" s="23"/>
      <c r="F16" s="23"/>
      <c r="G16" s="23"/>
      <c r="H16" s="23"/>
      <c r="I16" s="23"/>
      <c r="J16" s="23"/>
      <c r="K16" s="23"/>
      <c r="L16" s="23"/>
      <c r="M16" s="114" t="str">
        <f>IF(Feeds!I15&gt;0,Feeds!I15,"")</f>
        <v/>
      </c>
      <c r="N16" s="115" t="str">
        <f>IF(SUM(C16:L16)&gt;0,(SUMPRODUCT(C16:L16,C$27:L$27,C$28:L$28)/365)/2000/(1-Feeds!F15),"")</f>
        <v/>
      </c>
      <c r="O16" s="116" t="str">
        <f>IF(AND(P16&lt;&gt;"",P16&lt;&gt;0),P16+Feeds!L15,"")</f>
        <v/>
      </c>
      <c r="P16" s="114" t="str">
        <f>IF(N16&lt;&gt;"",Feeds!I15/'Current Rations'!N16,"")</f>
        <v/>
      </c>
    </row>
    <row r="17" spans="1:16" x14ac:dyDescent="0.2">
      <c r="A17" s="17">
        <v>15</v>
      </c>
      <c r="B17" s="29" t="str">
        <f>IF(Feeds!A16&gt;0,Feeds!A16,"")</f>
        <v/>
      </c>
      <c r="C17" s="23"/>
      <c r="D17" s="23"/>
      <c r="E17" s="23"/>
      <c r="F17" s="23"/>
      <c r="G17" s="23"/>
      <c r="H17" s="23"/>
      <c r="I17" s="23"/>
      <c r="J17" s="23"/>
      <c r="K17" s="23"/>
      <c r="L17" s="23"/>
      <c r="M17" s="114" t="str">
        <f>IF(Feeds!I16&gt;0,Feeds!I16,"")</f>
        <v/>
      </c>
      <c r="N17" s="115" t="str">
        <f>IF(SUM(C17:L17)&gt;0,(SUMPRODUCT(C17:L17,C$27:L$27,C$28:L$28)/365)/2000/(1-Feeds!F16),"")</f>
        <v/>
      </c>
      <c r="O17" s="116" t="str">
        <f>IF(AND(P17&lt;&gt;"",P17&lt;&gt;0),P17+Feeds!L16,"")</f>
        <v/>
      </c>
      <c r="P17" s="114" t="str">
        <f>IF(N17&lt;&gt;"",Feeds!I16/'Current Rations'!N17,"")</f>
        <v/>
      </c>
    </row>
    <row r="18" spans="1:16" x14ac:dyDescent="0.2">
      <c r="A18" s="17">
        <v>16</v>
      </c>
      <c r="B18" s="29" t="str">
        <f>IF(Feeds!A17&gt;0,Feeds!A17,"")</f>
        <v/>
      </c>
      <c r="C18" s="23"/>
      <c r="D18" s="23"/>
      <c r="E18" s="23"/>
      <c r="F18" s="23"/>
      <c r="G18" s="23"/>
      <c r="H18" s="23"/>
      <c r="I18" s="23"/>
      <c r="J18" s="23"/>
      <c r="K18" s="23"/>
      <c r="L18" s="23"/>
      <c r="M18" s="114" t="str">
        <f>IF(Feeds!I17&gt;0,Feeds!I17,"")</f>
        <v/>
      </c>
      <c r="N18" s="115" t="str">
        <f>IF(SUM(C18:L18)&gt;0,(SUMPRODUCT(C18:L18,C$27:L$27,C$28:L$28)/365)/2000/(1-Feeds!F17),"")</f>
        <v/>
      </c>
      <c r="O18" s="116" t="str">
        <f>IF(AND(P18&lt;&gt;"",P18&lt;&gt;0),P18+Feeds!L17,"")</f>
        <v/>
      </c>
      <c r="P18" s="114" t="str">
        <f>IF(N18&lt;&gt;"",Feeds!I17/'Current Rations'!N18,"")</f>
        <v/>
      </c>
    </row>
    <row r="19" spans="1:16" x14ac:dyDescent="0.2">
      <c r="A19" s="17">
        <v>17</v>
      </c>
      <c r="B19" s="29" t="str">
        <f>IF(Feeds!A18&gt;0,Feeds!A18,"")</f>
        <v/>
      </c>
      <c r="C19" s="23"/>
      <c r="D19" s="23"/>
      <c r="E19" s="23"/>
      <c r="F19" s="23"/>
      <c r="G19" s="23"/>
      <c r="H19" s="23"/>
      <c r="I19" s="23"/>
      <c r="J19" s="23"/>
      <c r="K19" s="23"/>
      <c r="L19" s="23"/>
      <c r="M19" s="114" t="str">
        <f>IF(Feeds!I18&gt;0,Feeds!I18,"")</f>
        <v/>
      </c>
      <c r="N19" s="115" t="str">
        <f>IF(SUM(C19:L19)&gt;0,(SUMPRODUCT(C19:L19,C$27:L$27,C$28:L$28)/365)/2000/(1-Feeds!F18),"")</f>
        <v/>
      </c>
      <c r="O19" s="116" t="str">
        <f>IF(AND(P19&lt;&gt;"",P19&lt;&gt;0),P19+Feeds!L18,"")</f>
        <v/>
      </c>
      <c r="P19" s="114" t="str">
        <f>IF(N19&lt;&gt;"",Feeds!I18/'Current Rations'!N19,"")</f>
        <v/>
      </c>
    </row>
    <row r="20" spans="1:16" x14ac:dyDescent="0.2">
      <c r="A20" s="17">
        <v>18</v>
      </c>
      <c r="B20" s="29" t="str">
        <f>IF(Feeds!A19&gt;0,Feeds!A19,"")</f>
        <v/>
      </c>
      <c r="C20" s="23"/>
      <c r="D20" s="23"/>
      <c r="E20" s="23"/>
      <c r="F20" s="23"/>
      <c r="G20" s="23"/>
      <c r="H20" s="23"/>
      <c r="I20" s="23"/>
      <c r="J20" s="23"/>
      <c r="K20" s="23"/>
      <c r="L20" s="23"/>
      <c r="M20" s="114" t="str">
        <f>IF(Feeds!I19&gt;0,Feeds!I19,"")</f>
        <v/>
      </c>
      <c r="N20" s="115" t="str">
        <f>IF(SUM(C20:L20)&gt;0,(SUMPRODUCT(C20:L20,C$27:L$27,C$28:L$28)/365)/2000/(1-Feeds!F19),"")</f>
        <v/>
      </c>
      <c r="O20" s="116" t="str">
        <f>IF(AND(P20&lt;&gt;"",P20&lt;&gt;0),P20+Feeds!L19,"")</f>
        <v/>
      </c>
      <c r="P20" s="114" t="str">
        <f>IF(N20&lt;&gt;"",Feeds!I19/'Current Rations'!N20,"")</f>
        <v/>
      </c>
    </row>
    <row r="21" spans="1:16" x14ac:dyDescent="0.2">
      <c r="A21" s="17">
        <v>19</v>
      </c>
      <c r="B21" s="29" t="str">
        <f>IF(Feeds!A20&gt;0,Feeds!A20,"")</f>
        <v/>
      </c>
      <c r="C21" s="23"/>
      <c r="D21" s="23"/>
      <c r="E21" s="23"/>
      <c r="F21" s="23"/>
      <c r="G21" s="23"/>
      <c r="H21" s="23"/>
      <c r="I21" s="23"/>
      <c r="J21" s="23"/>
      <c r="K21" s="23"/>
      <c r="L21" s="23"/>
      <c r="M21" s="114" t="str">
        <f>IF(Feeds!I20&gt;0,Feeds!I20,"")</f>
        <v/>
      </c>
      <c r="N21" s="115" t="str">
        <f>IF(SUM(C21:L21)&gt;0,(SUMPRODUCT(C21:L21,C$27:L$27,C$28:L$28)/365)/2000/(1-Feeds!F20),"")</f>
        <v/>
      </c>
      <c r="O21" s="116" t="str">
        <f>IF(AND(P21&lt;&gt;"",P21&lt;&gt;0),P21+Feeds!L20,"")</f>
        <v/>
      </c>
      <c r="P21" s="114" t="str">
        <f>IF(N21&lt;&gt;"",Feeds!I20/'Current Rations'!N21,"")</f>
        <v/>
      </c>
    </row>
    <row r="22" spans="1:16" x14ac:dyDescent="0.2">
      <c r="A22" s="17">
        <v>20</v>
      </c>
      <c r="B22" s="29" t="str">
        <f>IF(Feeds!A21&gt;0,Feeds!A21,"")</f>
        <v/>
      </c>
      <c r="C22" s="23"/>
      <c r="D22" s="23"/>
      <c r="E22" s="23"/>
      <c r="F22" s="23"/>
      <c r="G22" s="23"/>
      <c r="H22" s="23"/>
      <c r="I22" s="23"/>
      <c r="J22" s="23"/>
      <c r="K22" s="23"/>
      <c r="L22" s="23"/>
      <c r="M22" s="114" t="str">
        <f>IF(Feeds!I21&gt;0,Feeds!I21,"")</f>
        <v/>
      </c>
      <c r="N22" s="115" t="str">
        <f>IF(SUM(C22:L22)&gt;0,(SUMPRODUCT(C22:L22,C$27:L$27,C$28:L$28)/365)/2000/(1-Feeds!F21),"")</f>
        <v/>
      </c>
      <c r="O22" s="116" t="str">
        <f>IF(AND(P22&lt;&gt;"",P22&lt;&gt;0),P22+Feeds!L21,"")</f>
        <v/>
      </c>
      <c r="P22" s="114" t="str">
        <f>IF(N22&lt;&gt;"",Feeds!I21/'Current Rations'!N22,"")</f>
        <v/>
      </c>
    </row>
    <row r="23" spans="1:16" ht="13.5" thickBot="1" x14ac:dyDescent="0.25">
      <c r="A23" s="17">
        <v>21</v>
      </c>
      <c r="B23" s="29" t="str">
        <f>IF(Feeds!A22&gt;0,Feeds!A22,"")</f>
        <v/>
      </c>
      <c r="C23" s="24"/>
      <c r="D23" s="24"/>
      <c r="E23" s="24"/>
      <c r="F23" s="24"/>
      <c r="G23" s="24"/>
      <c r="H23" s="24"/>
      <c r="I23" s="24"/>
      <c r="J23" s="24"/>
      <c r="K23" s="24"/>
      <c r="L23" s="24"/>
      <c r="M23" s="117" t="str">
        <f>IF(Feeds!I22&gt;0,Feeds!I22,"")</f>
        <v/>
      </c>
      <c r="N23" s="106" t="str">
        <f>IF(SUM(C23:L23)&gt;0,(SUMPRODUCT(C23:L23,C$27:L$27,C$28:L$28)/365)/2000/(1-Feeds!F22),"")</f>
        <v/>
      </c>
      <c r="O23" s="118" t="str">
        <f>IF(AND(P23&lt;&gt;"",P23&lt;&gt;0),P23+Feeds!L22,"")</f>
        <v/>
      </c>
      <c r="P23" s="117" t="str">
        <f>IF(N23&lt;&gt;"",Feeds!I22/'Current Rations'!N23,"")</f>
        <v/>
      </c>
    </row>
    <row r="24" spans="1:16" x14ac:dyDescent="0.2">
      <c r="B24" s="18" t="s">
        <v>10</v>
      </c>
      <c r="C24" s="107" t="str">
        <f>IF(SUM(C4:C23)&gt;0,SUMPRODUCT(C4:C23,Feeds!$M3:$M22),"-")</f>
        <v>-</v>
      </c>
      <c r="D24" s="107" t="str">
        <f>IF(SUM(D4:D23)&gt;0,SUMPRODUCT(D4:D23,Feeds!$M3:$M22),"-")</f>
        <v>-</v>
      </c>
      <c r="E24" s="107" t="str">
        <f>IF(SUM(E4:E23)&gt;0,SUMPRODUCT(E4:E23,Feeds!$M3:$M22),"-")</f>
        <v>-</v>
      </c>
      <c r="F24" s="107" t="str">
        <f>IF(SUM(F4:F23)&gt;0,SUMPRODUCT(F4:F23,Feeds!$M3:$M22),"-")</f>
        <v>-</v>
      </c>
      <c r="G24" s="107" t="str">
        <f>IF(SUM(G4:G23)&gt;0,SUMPRODUCT(G4:G23,Feeds!$M3:$M22),"-")</f>
        <v>-</v>
      </c>
      <c r="H24" s="107" t="str">
        <f>IF(SUM(H4:H23)&gt;0,SUMPRODUCT(H4:H23,Feeds!$M3:$M22),"-")</f>
        <v>-</v>
      </c>
      <c r="I24" s="107" t="str">
        <f>IF(SUM(I4:I23)&gt;0,SUMPRODUCT(I4:I23,Feeds!$M3:$M22),"-")</f>
        <v>-</v>
      </c>
      <c r="J24" s="107" t="str">
        <f>IF(SUM(J4:J23)&gt;0,SUMPRODUCT(J4:J23,Feeds!$M3:$M22),"-")</f>
        <v>-</v>
      </c>
      <c r="K24" s="107" t="str">
        <f>IF(SUM(K4:K23)&gt;0,SUMPRODUCT(K4:K23,Feeds!$M3:$M22),"-")</f>
        <v>-</v>
      </c>
      <c r="L24" s="107" t="str">
        <f>IF(SUM(L4:L23)&gt;0,SUMPRODUCT(L4:L23,Feeds!$M3:$M22),"-")</f>
        <v>-</v>
      </c>
      <c r="M24" s="73"/>
      <c r="N24" s="73"/>
    </row>
    <row r="25" spans="1:16" s="1" customFormat="1" ht="13.5" thickBot="1" x14ac:dyDescent="0.25">
      <c r="B25" s="18" t="s">
        <v>8</v>
      </c>
      <c r="C25" s="19" t="str">
        <f t="shared" ref="C25:L25" si="0">IF(SUM(C4:C23)&gt;0,C26/C24,"-")</f>
        <v>-</v>
      </c>
      <c r="D25" s="19" t="str">
        <f t="shared" si="0"/>
        <v>-</v>
      </c>
      <c r="E25" s="19" t="str">
        <f t="shared" si="0"/>
        <v>-</v>
      </c>
      <c r="F25" s="19" t="str">
        <f t="shared" si="0"/>
        <v>-</v>
      </c>
      <c r="G25" s="19" t="str">
        <f t="shared" si="0"/>
        <v>-</v>
      </c>
      <c r="H25" s="19" t="str">
        <f t="shared" si="0"/>
        <v>-</v>
      </c>
      <c r="I25" s="19" t="str">
        <f t="shared" si="0"/>
        <v>-</v>
      </c>
      <c r="J25" s="19" t="str">
        <f t="shared" si="0"/>
        <v>-</v>
      </c>
      <c r="K25" s="19" t="str">
        <f t="shared" si="0"/>
        <v>-</v>
      </c>
      <c r="L25" s="19" t="str">
        <f t="shared" si="0"/>
        <v>-</v>
      </c>
      <c r="N25" s="201"/>
      <c r="O25" s="201"/>
      <c r="P25" s="201"/>
    </row>
    <row r="26" spans="1:16" s="1" customFormat="1" ht="13.5" thickBot="1" x14ac:dyDescent="0.25">
      <c r="B26" s="16" t="s">
        <v>7</v>
      </c>
      <c r="C26" s="108" t="str">
        <f>IF(SUM(C4:C23)&gt;0,SUM(C4:C23),"-")</f>
        <v>-</v>
      </c>
      <c r="D26" s="108" t="str">
        <f t="shared" ref="D26:L26" si="1">IF(SUM(D4:D23)&gt;0,SUM(D4:D23),"-")</f>
        <v>-</v>
      </c>
      <c r="E26" s="108" t="str">
        <f t="shared" si="1"/>
        <v>-</v>
      </c>
      <c r="F26" s="108" t="str">
        <f t="shared" si="1"/>
        <v>-</v>
      </c>
      <c r="G26" s="108" t="str">
        <f>IF(SUM(G4:G23)&gt;0,SUM(G4:G23),"-")</f>
        <v>-</v>
      </c>
      <c r="H26" s="108" t="str">
        <f t="shared" si="1"/>
        <v>-</v>
      </c>
      <c r="I26" s="108" t="str">
        <f t="shared" si="1"/>
        <v>-</v>
      </c>
      <c r="J26" s="108" t="str">
        <f t="shared" si="1"/>
        <v>-</v>
      </c>
      <c r="K26" s="108" t="str">
        <f t="shared" si="1"/>
        <v>-</v>
      </c>
      <c r="L26" s="108" t="str">
        <f t="shared" si="1"/>
        <v>-</v>
      </c>
      <c r="M26" s="202"/>
      <c r="N26" s="309" t="s">
        <v>156</v>
      </c>
      <c r="O26" s="310"/>
      <c r="P26" s="311"/>
    </row>
    <row r="27" spans="1:16" s="1" customFormat="1" x14ac:dyDescent="0.2">
      <c r="B27" s="16" t="s">
        <v>6</v>
      </c>
      <c r="C27" s="25"/>
      <c r="D27" s="25"/>
      <c r="E27" s="25"/>
      <c r="F27" s="25"/>
      <c r="G27" s="25"/>
      <c r="H27" s="25"/>
      <c r="I27" s="25"/>
      <c r="J27" s="25"/>
      <c r="K27" s="25"/>
      <c r="L27" s="25"/>
      <c r="M27" s="202"/>
      <c r="O27" s="16" t="s">
        <v>157</v>
      </c>
      <c r="P27" s="203"/>
    </row>
    <row r="28" spans="1:16" s="1" customFormat="1" x14ac:dyDescent="0.2">
      <c r="B28" s="16" t="s">
        <v>9</v>
      </c>
      <c r="C28" s="25"/>
      <c r="D28" s="25"/>
      <c r="E28" s="25"/>
      <c r="F28" s="25"/>
      <c r="G28" s="25"/>
      <c r="H28" s="25"/>
      <c r="I28" s="25"/>
      <c r="J28" s="25"/>
      <c r="K28" s="25"/>
      <c r="L28" s="25"/>
      <c r="M28" s="202"/>
      <c r="O28" s="16" t="s">
        <v>158</v>
      </c>
      <c r="P28" s="204"/>
    </row>
    <row r="29" spans="1:16" s="1" customFormat="1" x14ac:dyDescent="0.2">
      <c r="B29" s="16" t="s">
        <v>30</v>
      </c>
      <c r="C29" s="25"/>
      <c r="D29" s="25"/>
      <c r="E29" s="25"/>
      <c r="F29" s="25"/>
      <c r="G29" s="25"/>
      <c r="H29" s="25"/>
      <c r="I29" s="25"/>
      <c r="J29" s="25"/>
      <c r="K29" s="25"/>
      <c r="L29" s="25"/>
      <c r="M29" s="202"/>
      <c r="O29" s="16" t="s">
        <v>159</v>
      </c>
      <c r="P29" s="204"/>
    </row>
    <row r="30" spans="1:16" s="1" customFormat="1" x14ac:dyDescent="0.2">
      <c r="B30" s="16" t="s">
        <v>155</v>
      </c>
      <c r="C30" s="205"/>
      <c r="D30" s="205"/>
      <c r="E30" s="205"/>
      <c r="F30" s="205"/>
      <c r="G30" s="205"/>
      <c r="H30" s="205"/>
      <c r="I30" s="205"/>
      <c r="J30" s="205"/>
      <c r="K30" s="205"/>
      <c r="L30" s="205"/>
      <c r="M30" s="202"/>
      <c r="O30" s="16" t="s">
        <v>160</v>
      </c>
      <c r="P30" s="204"/>
    </row>
    <row r="31" spans="1:16" s="1" customFormat="1" x14ac:dyDescent="0.2">
      <c r="B31" s="16" t="s">
        <v>154</v>
      </c>
      <c r="C31" s="205"/>
      <c r="D31" s="205"/>
      <c r="E31" s="205"/>
      <c r="F31" s="205"/>
      <c r="G31" s="205"/>
      <c r="H31" s="205"/>
      <c r="I31" s="205"/>
      <c r="J31" s="205"/>
      <c r="K31" s="205"/>
      <c r="L31" s="205"/>
      <c r="M31" s="202"/>
      <c r="O31" s="16" t="s">
        <v>161</v>
      </c>
      <c r="P31" s="204"/>
    </row>
    <row r="32" spans="1:16" s="1" customFormat="1" ht="13.5" thickBot="1" x14ac:dyDescent="0.25">
      <c r="B32" s="16" t="s">
        <v>192</v>
      </c>
      <c r="C32" s="205"/>
      <c r="D32" s="205"/>
      <c r="E32" s="205"/>
      <c r="F32" s="205"/>
      <c r="G32" s="205"/>
      <c r="H32" s="205"/>
      <c r="I32" s="205"/>
      <c r="J32" s="205"/>
      <c r="K32" s="205"/>
      <c r="L32" s="205"/>
      <c r="M32" s="202" t="s">
        <v>168</v>
      </c>
      <c r="O32" s="16" t="s">
        <v>193</v>
      </c>
      <c r="P32" s="206">
        <f>ROUND(P44,2)</f>
        <v>0</v>
      </c>
    </row>
    <row r="33" spans="2:16" ht="13.5" thickBot="1" x14ac:dyDescent="0.25">
      <c r="B33" s="16" t="s">
        <v>172</v>
      </c>
      <c r="C33" s="169" t="str">
        <f>IF(SUM(C4:C23)&gt;0,SUMPRODUCT(Feeds!$N3:$N22,(C4:C23/2000)),"-")</f>
        <v>-</v>
      </c>
      <c r="D33" s="169" t="str">
        <f>IF(SUM(D4:D23)&gt;0,SUMPRODUCT(Feeds!$N3:$N22,(D4:D23/2000)),"-")</f>
        <v>-</v>
      </c>
      <c r="E33" s="169" t="str">
        <f>IF(SUM(E4:E23)&gt;0,SUMPRODUCT(Feeds!$N3:$N22,(E4:E23/2000)),"-")</f>
        <v>-</v>
      </c>
      <c r="F33" s="169" t="str">
        <f>IF(SUM(F4:F23)&gt;0,SUMPRODUCT(Feeds!$N3:$N22,(F4:F23/2000)),"-")</f>
        <v>-</v>
      </c>
      <c r="G33" s="169" t="str">
        <f>IF(SUM(G4:G23)&gt;0,SUMPRODUCT(Feeds!$N3:$N22,(G4:G23/2000)),"-")</f>
        <v>-</v>
      </c>
      <c r="H33" s="169" t="str">
        <f>IF(SUM(H4:H23)&gt;0,SUMPRODUCT(Feeds!$N3:$N22,(H4:H23/2000)),"-")</f>
        <v>-</v>
      </c>
      <c r="I33" s="169" t="str">
        <f>IF(SUM(I4:I23)&gt;0,SUMPRODUCT(Feeds!$N3:$N22,(I4:I23/2000)),"-")</f>
        <v>-</v>
      </c>
      <c r="J33" s="169" t="str">
        <f>IF(SUM(J4:J23)&gt;0,SUMPRODUCT(Feeds!$N3:$N22,(J4:J23/2000)),"-")</f>
        <v>-</v>
      </c>
      <c r="K33" s="169" t="str">
        <f>IF(SUM(K4:K23)&gt;0,SUMPRODUCT(Feeds!$N3:$N22,(K4:K23/2000)),"-")</f>
        <v>-</v>
      </c>
      <c r="L33" s="169" t="str">
        <f>IF(SUM(L4:L23)&gt;0,SUMPRODUCT(Feeds!$N3:$N22,(L4:L23/2000)),"-")</f>
        <v>-</v>
      </c>
      <c r="M33" s="169" t="str">
        <f>IFERROR(N52,"")</f>
        <v/>
      </c>
      <c r="N33" s="207"/>
      <c r="O33" s="208" t="s">
        <v>194</v>
      </c>
      <c r="P33" s="215"/>
    </row>
    <row r="34" spans="2:16" x14ac:dyDescent="0.2">
      <c r="B34" s="16" t="s">
        <v>31</v>
      </c>
      <c r="C34" s="169" t="str">
        <f t="shared" ref="C34:L34" si="2">IF(C29&gt;0,C33/(C29/100),"-")</f>
        <v>-</v>
      </c>
      <c r="D34" s="169" t="str">
        <f t="shared" si="2"/>
        <v>-</v>
      </c>
      <c r="E34" s="169" t="str">
        <f t="shared" si="2"/>
        <v>-</v>
      </c>
      <c r="F34" s="169" t="str">
        <f t="shared" si="2"/>
        <v>-</v>
      </c>
      <c r="G34" s="169" t="str">
        <f t="shared" si="2"/>
        <v>-</v>
      </c>
      <c r="H34" s="169" t="str">
        <f t="shared" si="2"/>
        <v>-</v>
      </c>
      <c r="I34" s="169" t="str">
        <f t="shared" si="2"/>
        <v>-</v>
      </c>
      <c r="J34" s="170" t="str">
        <f t="shared" si="2"/>
        <v>-</v>
      </c>
      <c r="K34" s="169" t="str">
        <f t="shared" si="2"/>
        <v>-</v>
      </c>
      <c r="L34" s="169" t="str">
        <f t="shared" si="2"/>
        <v>-</v>
      </c>
      <c r="M34" s="169" t="str">
        <f>IFERROR(N55,"")</f>
        <v/>
      </c>
      <c r="N34" s="67"/>
      <c r="O34" s="1"/>
      <c r="P34" s="1"/>
    </row>
    <row r="35" spans="2:16" x14ac:dyDescent="0.2">
      <c r="B35" s="20" t="s">
        <v>169</v>
      </c>
      <c r="C35" s="169">
        <f>IF(C46="-","-",C46*$P46/100)</f>
        <v>0</v>
      </c>
      <c r="D35" s="169">
        <f t="shared" ref="D35:L35" si="3">IF(D46="-","-",D46*$P46/100)</f>
        <v>0</v>
      </c>
      <c r="E35" s="169">
        <f t="shared" si="3"/>
        <v>0</v>
      </c>
      <c r="F35" s="169">
        <f t="shared" si="3"/>
        <v>0</v>
      </c>
      <c r="G35" s="169">
        <f t="shared" si="3"/>
        <v>0</v>
      </c>
      <c r="H35" s="169">
        <f t="shared" si="3"/>
        <v>0</v>
      </c>
      <c r="I35" s="169">
        <f t="shared" si="3"/>
        <v>0</v>
      </c>
      <c r="J35" s="169">
        <f t="shared" si="3"/>
        <v>0</v>
      </c>
      <c r="K35" s="169">
        <f t="shared" si="3"/>
        <v>0</v>
      </c>
      <c r="L35" s="169">
        <f t="shared" si="3"/>
        <v>0</v>
      </c>
      <c r="M35" s="169" t="str">
        <f>IFERROR(N57,"")</f>
        <v/>
      </c>
      <c r="O35" s="312" t="s">
        <v>195</v>
      </c>
      <c r="P35" s="312"/>
    </row>
    <row r="36" spans="2:16" x14ac:dyDescent="0.2">
      <c r="B36" s="20" t="s">
        <v>162</v>
      </c>
      <c r="C36" s="169">
        <f t="shared" ref="C36:F36" si="4">IF(C33="-",0,C35-C33)</f>
        <v>0</v>
      </c>
      <c r="D36" s="169">
        <f t="shared" si="4"/>
        <v>0</v>
      </c>
      <c r="E36" s="169">
        <f t="shared" si="4"/>
        <v>0</v>
      </c>
      <c r="F36" s="169">
        <f t="shared" si="4"/>
        <v>0</v>
      </c>
      <c r="G36" s="169">
        <f>IF(G33="-",0,G35-G33)</f>
        <v>0</v>
      </c>
      <c r="H36" s="169">
        <f t="shared" ref="H36:L36" si="5">IF(H33="-",0,H35-H33)</f>
        <v>0</v>
      </c>
      <c r="I36" s="169">
        <f t="shared" si="5"/>
        <v>0</v>
      </c>
      <c r="J36" s="169">
        <f t="shared" si="5"/>
        <v>0</v>
      </c>
      <c r="K36" s="169">
        <f t="shared" si="5"/>
        <v>0</v>
      </c>
      <c r="L36" s="169">
        <f t="shared" si="5"/>
        <v>0</v>
      </c>
      <c r="M36" s="169" t="str">
        <f>IFERROR(N59,"")</f>
        <v/>
      </c>
      <c r="O36" s="312"/>
      <c r="P36" s="312"/>
    </row>
    <row r="37" spans="2:16" x14ac:dyDescent="0.2">
      <c r="B37" s="20" t="s">
        <v>196</v>
      </c>
      <c r="C37" s="209">
        <f>IF(C26="-",0,C46/C26)</f>
        <v>0</v>
      </c>
      <c r="D37" s="209">
        <f t="shared" ref="D37:L37" si="6">IF(D26="-",0,D46/D26)</f>
        <v>0</v>
      </c>
      <c r="E37" s="209">
        <f t="shared" si="6"/>
        <v>0</v>
      </c>
      <c r="F37" s="209">
        <f t="shared" si="6"/>
        <v>0</v>
      </c>
      <c r="G37" s="209">
        <f t="shared" si="6"/>
        <v>0</v>
      </c>
      <c r="H37" s="209">
        <f t="shared" si="6"/>
        <v>0</v>
      </c>
      <c r="I37" s="209">
        <f t="shared" si="6"/>
        <v>0</v>
      </c>
      <c r="J37" s="209">
        <f t="shared" si="6"/>
        <v>0</v>
      </c>
      <c r="K37" s="209">
        <f t="shared" si="6"/>
        <v>0</v>
      </c>
      <c r="L37" s="209">
        <f t="shared" si="6"/>
        <v>0</v>
      </c>
      <c r="O37" s="312"/>
      <c r="P37" s="312"/>
    </row>
    <row r="38" spans="2:16" x14ac:dyDescent="0.2">
      <c r="B38" s="165" t="s">
        <v>217</v>
      </c>
    </row>
    <row r="41" spans="2:16" hidden="1" x14ac:dyDescent="0.2"/>
    <row r="42" spans="2:16" hidden="1" x14ac:dyDescent="0.2">
      <c r="B42" s="165" t="s">
        <v>163</v>
      </c>
      <c r="P42" s="167"/>
    </row>
    <row r="43" spans="2:16" hidden="1" x14ac:dyDescent="0.2">
      <c r="B43" s="165" t="s">
        <v>164</v>
      </c>
      <c r="C43" s="210">
        <f>C29*C30</f>
        <v>0</v>
      </c>
      <c r="D43" s="210">
        <f t="shared" ref="D43:L43" si="7">D29*D30</f>
        <v>0</v>
      </c>
      <c r="E43" s="210">
        <f t="shared" si="7"/>
        <v>0</v>
      </c>
      <c r="F43" s="210">
        <f t="shared" si="7"/>
        <v>0</v>
      </c>
      <c r="G43" s="210">
        <f t="shared" si="7"/>
        <v>0</v>
      </c>
      <c r="H43" s="210">
        <f t="shared" si="7"/>
        <v>0</v>
      </c>
      <c r="I43" s="210">
        <f t="shared" si="7"/>
        <v>0</v>
      </c>
      <c r="J43" s="210">
        <f t="shared" si="7"/>
        <v>0</v>
      </c>
      <c r="K43" s="210">
        <f t="shared" si="7"/>
        <v>0</v>
      </c>
      <c r="L43" s="210">
        <f t="shared" si="7"/>
        <v>0</v>
      </c>
      <c r="M43" s="210"/>
      <c r="N43" s="210"/>
      <c r="P43" s="167" t="s">
        <v>197</v>
      </c>
    </row>
    <row r="44" spans="2:16" hidden="1" x14ac:dyDescent="0.2">
      <c r="B44" s="165" t="s">
        <v>165</v>
      </c>
      <c r="C44" s="210">
        <f>C29*C31</f>
        <v>0</v>
      </c>
      <c r="D44" s="210">
        <f t="shared" ref="D44:L44" si="8">D29*D31</f>
        <v>0</v>
      </c>
      <c r="E44" s="210">
        <f t="shared" si="8"/>
        <v>0</v>
      </c>
      <c r="F44" s="210">
        <f t="shared" si="8"/>
        <v>0</v>
      </c>
      <c r="G44" s="210">
        <f t="shared" si="8"/>
        <v>0</v>
      </c>
      <c r="H44" s="210">
        <f t="shared" si="8"/>
        <v>0</v>
      </c>
      <c r="I44" s="210">
        <f t="shared" si="8"/>
        <v>0</v>
      </c>
      <c r="J44" s="210">
        <f t="shared" si="8"/>
        <v>0</v>
      </c>
      <c r="K44" s="210">
        <f t="shared" si="8"/>
        <v>0</v>
      </c>
      <c r="L44" s="210">
        <f t="shared" si="8"/>
        <v>0</v>
      </c>
      <c r="M44" s="210"/>
      <c r="N44" s="210"/>
      <c r="P44" s="17">
        <f>(P28*3.5)+(P29*3)+(P30*5.5537)+(P31)</f>
        <v>0</v>
      </c>
    </row>
    <row r="45" spans="2:16" hidden="1" x14ac:dyDescent="0.2">
      <c r="B45" s="165" t="s">
        <v>166</v>
      </c>
      <c r="C45" s="210">
        <f>C29*C32</f>
        <v>0</v>
      </c>
      <c r="D45" s="210">
        <f t="shared" ref="D45:L45" si="9">D29*D32</f>
        <v>0</v>
      </c>
      <c r="E45" s="210">
        <f t="shared" si="9"/>
        <v>0</v>
      </c>
      <c r="F45" s="210">
        <f t="shared" si="9"/>
        <v>0</v>
      </c>
      <c r="G45" s="210">
        <f t="shared" si="9"/>
        <v>0</v>
      </c>
      <c r="H45" s="210">
        <f t="shared" si="9"/>
        <v>0</v>
      </c>
      <c r="I45" s="210">
        <f t="shared" si="9"/>
        <v>0</v>
      </c>
      <c r="J45" s="210">
        <f t="shared" si="9"/>
        <v>0</v>
      </c>
      <c r="K45" s="210">
        <f t="shared" si="9"/>
        <v>0</v>
      </c>
      <c r="L45" s="210">
        <f t="shared" si="9"/>
        <v>0</v>
      </c>
      <c r="M45" s="210"/>
      <c r="N45" s="210"/>
      <c r="P45" s="167" t="s">
        <v>198</v>
      </c>
    </row>
    <row r="46" spans="2:16" hidden="1" x14ac:dyDescent="0.2">
      <c r="B46" s="165" t="s">
        <v>199</v>
      </c>
      <c r="C46" s="211" t="str">
        <f>IF(C29&gt;0,(0.327*C29)+(12.95*(C29*C30))+(7.2*(C29*C31)),"0")</f>
        <v>0</v>
      </c>
      <c r="D46" s="211" t="str">
        <f t="shared" ref="D46:L46" si="10">IF(D29&gt;0,(0.327*D29)+(12.95*(D29*D30))+(7.2*(D29*D31)),"0")</f>
        <v>0</v>
      </c>
      <c r="E46" s="211" t="str">
        <f t="shared" si="10"/>
        <v>0</v>
      </c>
      <c r="F46" s="211" t="str">
        <f t="shared" si="10"/>
        <v>0</v>
      </c>
      <c r="G46" s="211" t="str">
        <f t="shared" si="10"/>
        <v>0</v>
      </c>
      <c r="H46" s="211" t="str">
        <f t="shared" si="10"/>
        <v>0</v>
      </c>
      <c r="I46" s="211" t="str">
        <f t="shared" si="10"/>
        <v>0</v>
      </c>
      <c r="J46" s="211" t="str">
        <f t="shared" si="10"/>
        <v>0</v>
      </c>
      <c r="K46" s="211" t="str">
        <f t="shared" si="10"/>
        <v>0</v>
      </c>
      <c r="L46" s="211" t="str">
        <f t="shared" si="10"/>
        <v>0</v>
      </c>
      <c r="M46" s="211" t="e">
        <f>M55/M50</f>
        <v>#DIV/0!</v>
      </c>
      <c r="N46" s="210"/>
      <c r="P46" s="17">
        <f>IF(P33="",P44,P33)</f>
        <v>0</v>
      </c>
    </row>
    <row r="47" spans="2:16" hidden="1" x14ac:dyDescent="0.2">
      <c r="B47" s="165"/>
      <c r="C47" s="211"/>
      <c r="D47" s="211"/>
      <c r="E47" s="211"/>
      <c r="F47" s="211"/>
      <c r="G47" s="211"/>
      <c r="H47" s="211"/>
      <c r="I47" s="211"/>
      <c r="J47" s="211"/>
      <c r="K47" s="211"/>
      <c r="L47" s="211"/>
      <c r="M47" s="210"/>
      <c r="N47" s="210"/>
    </row>
    <row r="48" spans="2:16" hidden="1" x14ac:dyDescent="0.2">
      <c r="B48" s="165" t="s">
        <v>200</v>
      </c>
      <c r="C48" s="211" t="e">
        <f>IF(C35="-",IF(C33="-",0,0-C33),C35-C33)</f>
        <v>#VALUE!</v>
      </c>
      <c r="D48" s="211" t="e">
        <f t="shared" ref="D48:L48" si="11">IF(D35="-",IF(D33="-",0,0-D33),D35-D33)</f>
        <v>#VALUE!</v>
      </c>
      <c r="E48" s="211" t="e">
        <f t="shared" si="11"/>
        <v>#VALUE!</v>
      </c>
      <c r="F48" s="211" t="e">
        <f t="shared" si="11"/>
        <v>#VALUE!</v>
      </c>
      <c r="G48" s="211" t="e">
        <f t="shared" si="11"/>
        <v>#VALUE!</v>
      </c>
      <c r="H48" s="211" t="e">
        <f t="shared" si="11"/>
        <v>#VALUE!</v>
      </c>
      <c r="I48" s="211" t="e">
        <f t="shared" si="11"/>
        <v>#VALUE!</v>
      </c>
      <c r="J48" s="211" t="e">
        <f t="shared" si="11"/>
        <v>#VALUE!</v>
      </c>
      <c r="K48" s="211" t="e">
        <f t="shared" si="11"/>
        <v>#VALUE!</v>
      </c>
      <c r="L48" s="211" t="e">
        <f t="shared" si="11"/>
        <v>#VALUE!</v>
      </c>
      <c r="M48" s="210"/>
      <c r="N48" s="210"/>
    </row>
    <row r="49" spans="2:16" hidden="1" x14ac:dyDescent="0.2">
      <c r="C49" s="210"/>
      <c r="D49" s="210"/>
      <c r="E49" s="210"/>
      <c r="F49" s="210"/>
      <c r="G49" s="210"/>
      <c r="H49" s="210"/>
      <c r="I49" s="210"/>
      <c r="J49" s="210"/>
      <c r="K49" s="210"/>
      <c r="L49" s="210"/>
      <c r="M49" s="210" t="s">
        <v>201</v>
      </c>
      <c r="N49" s="210" t="s">
        <v>202</v>
      </c>
    </row>
    <row r="50" spans="2:16" hidden="1" x14ac:dyDescent="0.2">
      <c r="B50" s="165" t="s">
        <v>167</v>
      </c>
      <c r="C50" s="210">
        <f>C28*C27</f>
        <v>0</v>
      </c>
      <c r="D50" s="210">
        <f t="shared" ref="D50:L50" si="12">D28*D27</f>
        <v>0</v>
      </c>
      <c r="E50" s="210">
        <f t="shared" si="12"/>
        <v>0</v>
      </c>
      <c r="F50" s="210">
        <f t="shared" si="12"/>
        <v>0</v>
      </c>
      <c r="G50" s="210">
        <f t="shared" si="12"/>
        <v>0</v>
      </c>
      <c r="H50" s="210">
        <f t="shared" si="12"/>
        <v>0</v>
      </c>
      <c r="I50" s="210">
        <f t="shared" si="12"/>
        <v>0</v>
      </c>
      <c r="J50" s="210">
        <f t="shared" si="12"/>
        <v>0</v>
      </c>
      <c r="K50" s="210">
        <f t="shared" si="12"/>
        <v>0</v>
      </c>
      <c r="L50" s="210">
        <f t="shared" si="12"/>
        <v>0</v>
      </c>
      <c r="M50" s="210">
        <f>SUM(C50:L50)</f>
        <v>0</v>
      </c>
      <c r="N50" s="210"/>
    </row>
    <row r="51" spans="2:16" hidden="1" x14ac:dyDescent="0.2">
      <c r="B51" s="165" t="s">
        <v>203</v>
      </c>
      <c r="C51" s="210">
        <f>IF(C33="-",0,C33)</f>
        <v>0</v>
      </c>
      <c r="D51" s="210">
        <f t="shared" ref="D51:L51" si="13">IF(D33="-",0,D33)</f>
        <v>0</v>
      </c>
      <c r="E51" s="210">
        <f>IF(E33="-",0,E33)</f>
        <v>0</v>
      </c>
      <c r="F51" s="210">
        <f t="shared" si="13"/>
        <v>0</v>
      </c>
      <c r="G51" s="210">
        <f t="shared" si="13"/>
        <v>0</v>
      </c>
      <c r="H51" s="210">
        <f t="shared" si="13"/>
        <v>0</v>
      </c>
      <c r="I51" s="210">
        <f t="shared" si="13"/>
        <v>0</v>
      </c>
      <c r="J51" s="210">
        <f t="shared" si="13"/>
        <v>0</v>
      </c>
      <c r="K51" s="210">
        <f t="shared" si="13"/>
        <v>0</v>
      </c>
      <c r="L51" s="210">
        <f t="shared" si="13"/>
        <v>0</v>
      </c>
      <c r="M51" s="210">
        <f>SUM(C51:L51)</f>
        <v>0</v>
      </c>
      <c r="N51" s="210"/>
    </row>
    <row r="52" spans="2:16" hidden="1" x14ac:dyDescent="0.2">
      <c r="B52" s="165" t="s">
        <v>204</v>
      </c>
      <c r="C52" s="212">
        <f>C51*C50</f>
        <v>0</v>
      </c>
      <c r="D52" s="212">
        <f t="shared" ref="D52:L52" si="14">D51*D50</f>
        <v>0</v>
      </c>
      <c r="E52" s="212">
        <f t="shared" si="14"/>
        <v>0</v>
      </c>
      <c r="F52" s="212">
        <f t="shared" si="14"/>
        <v>0</v>
      </c>
      <c r="G52" s="212">
        <f t="shared" si="14"/>
        <v>0</v>
      </c>
      <c r="H52" s="212">
        <f t="shared" si="14"/>
        <v>0</v>
      </c>
      <c r="I52" s="212">
        <f t="shared" si="14"/>
        <v>0</v>
      </c>
      <c r="J52" s="212">
        <f t="shared" si="14"/>
        <v>0</v>
      </c>
      <c r="K52" s="212">
        <f t="shared" si="14"/>
        <v>0</v>
      </c>
      <c r="L52" s="212">
        <f t="shared" si="14"/>
        <v>0</v>
      </c>
      <c r="M52" s="212">
        <f>SUM(C52:L52)</f>
        <v>0</v>
      </c>
      <c r="N52" s="210" t="e">
        <f>M52/M50</f>
        <v>#DIV/0!</v>
      </c>
      <c r="P52" s="17" t="s">
        <v>238</v>
      </c>
    </row>
    <row r="53" spans="2:16" hidden="1" x14ac:dyDescent="0.2">
      <c r="B53" s="165" t="s">
        <v>205</v>
      </c>
      <c r="C53" s="213">
        <f>IF(C34="-",0,C34)</f>
        <v>0</v>
      </c>
      <c r="D53" s="210">
        <f t="shared" ref="D53:L53" si="15">IF(D34="-",0,D34)</f>
        <v>0</v>
      </c>
      <c r="E53" s="210">
        <f t="shared" si="15"/>
        <v>0</v>
      </c>
      <c r="F53" s="210">
        <f t="shared" si="15"/>
        <v>0</v>
      </c>
      <c r="G53" s="210">
        <f t="shared" si="15"/>
        <v>0</v>
      </c>
      <c r="H53" s="210">
        <f t="shared" si="15"/>
        <v>0</v>
      </c>
      <c r="I53" s="210">
        <f t="shared" si="15"/>
        <v>0</v>
      </c>
      <c r="J53" s="210">
        <f t="shared" si="15"/>
        <v>0</v>
      </c>
      <c r="K53" s="210">
        <f t="shared" si="15"/>
        <v>0</v>
      </c>
      <c r="L53" s="210">
        <f t="shared" si="15"/>
        <v>0</v>
      </c>
      <c r="M53" s="212">
        <f t="shared" ref="M53:M59" si="16">SUM(C53:L53)</f>
        <v>0</v>
      </c>
      <c r="N53" s="210"/>
      <c r="P53" s="230">
        <f>SUM(C27:L27)</f>
        <v>0</v>
      </c>
    </row>
    <row r="54" spans="2:16" hidden="1" x14ac:dyDescent="0.2">
      <c r="B54" s="165" t="s">
        <v>204</v>
      </c>
      <c r="C54" s="210">
        <f>C53*C50</f>
        <v>0</v>
      </c>
      <c r="D54" s="210">
        <f t="shared" ref="D54:L54" si="17">D53*D50</f>
        <v>0</v>
      </c>
      <c r="E54" s="210">
        <f t="shared" si="17"/>
        <v>0</v>
      </c>
      <c r="F54" s="210">
        <f t="shared" si="17"/>
        <v>0</v>
      </c>
      <c r="G54" s="210">
        <f t="shared" si="17"/>
        <v>0</v>
      </c>
      <c r="H54" s="210">
        <f t="shared" si="17"/>
        <v>0</v>
      </c>
      <c r="I54" s="210">
        <f t="shared" si="17"/>
        <v>0</v>
      </c>
      <c r="J54" s="210">
        <f t="shared" si="17"/>
        <v>0</v>
      </c>
      <c r="K54" s="210">
        <f t="shared" si="17"/>
        <v>0</v>
      </c>
      <c r="L54" s="210">
        <f t="shared" si="17"/>
        <v>0</v>
      </c>
      <c r="M54" s="212">
        <f t="shared" si="16"/>
        <v>0</v>
      </c>
      <c r="N54" s="212" t="e">
        <f>M54/M50</f>
        <v>#DIV/0!</v>
      </c>
    </row>
    <row r="55" spans="2:16" hidden="1" x14ac:dyDescent="0.2">
      <c r="B55" s="165" t="s">
        <v>210</v>
      </c>
      <c r="C55" s="210">
        <f>IF(C46="-",0,C46*C50)</f>
        <v>0</v>
      </c>
      <c r="D55" s="210">
        <f t="shared" ref="D55:L55" si="18">IF(D46="-",0,D46*D50)</f>
        <v>0</v>
      </c>
      <c r="E55" s="210">
        <f t="shared" si="18"/>
        <v>0</v>
      </c>
      <c r="F55" s="210">
        <f t="shared" si="18"/>
        <v>0</v>
      </c>
      <c r="G55" s="210">
        <f t="shared" si="18"/>
        <v>0</v>
      </c>
      <c r="H55" s="210">
        <f t="shared" si="18"/>
        <v>0</v>
      </c>
      <c r="I55" s="210">
        <f t="shared" si="18"/>
        <v>0</v>
      </c>
      <c r="J55" s="210">
        <f t="shared" si="18"/>
        <v>0</v>
      </c>
      <c r="K55" s="210">
        <f t="shared" si="18"/>
        <v>0</v>
      </c>
      <c r="L55" s="210">
        <f t="shared" si="18"/>
        <v>0</v>
      </c>
      <c r="M55" s="212">
        <f t="shared" si="16"/>
        <v>0</v>
      </c>
      <c r="N55" s="212" t="e">
        <f>M52/M55*100</f>
        <v>#DIV/0!</v>
      </c>
    </row>
    <row r="56" spans="2:16" hidden="1" x14ac:dyDescent="0.2">
      <c r="B56" s="165" t="s">
        <v>206</v>
      </c>
      <c r="C56" s="210">
        <f>IF(C35="-",0,C35)</f>
        <v>0</v>
      </c>
      <c r="D56" s="210">
        <f t="shared" ref="D56:L56" si="19">IF(D35="-",0,D35)</f>
        <v>0</v>
      </c>
      <c r="E56" s="210">
        <f t="shared" si="19"/>
        <v>0</v>
      </c>
      <c r="F56" s="210">
        <f t="shared" si="19"/>
        <v>0</v>
      </c>
      <c r="G56" s="210">
        <f t="shared" si="19"/>
        <v>0</v>
      </c>
      <c r="H56" s="210">
        <f t="shared" si="19"/>
        <v>0</v>
      </c>
      <c r="I56" s="210">
        <f t="shared" si="19"/>
        <v>0</v>
      </c>
      <c r="J56" s="210">
        <f t="shared" si="19"/>
        <v>0</v>
      </c>
      <c r="K56" s="210">
        <f t="shared" si="19"/>
        <v>0</v>
      </c>
      <c r="L56" s="210">
        <f t="shared" si="19"/>
        <v>0</v>
      </c>
      <c r="M56" s="212">
        <f t="shared" si="16"/>
        <v>0</v>
      </c>
      <c r="N56" s="210"/>
    </row>
    <row r="57" spans="2:16" hidden="1" x14ac:dyDescent="0.2">
      <c r="B57" s="165" t="s">
        <v>207</v>
      </c>
      <c r="C57" s="210">
        <f>C56*C50</f>
        <v>0</v>
      </c>
      <c r="D57" s="210">
        <f t="shared" ref="D57:L57" si="20">D56*D50</f>
        <v>0</v>
      </c>
      <c r="E57" s="210">
        <f t="shared" si="20"/>
        <v>0</v>
      </c>
      <c r="F57" s="210">
        <f t="shared" si="20"/>
        <v>0</v>
      </c>
      <c r="G57" s="210">
        <f t="shared" si="20"/>
        <v>0</v>
      </c>
      <c r="H57" s="210">
        <f t="shared" si="20"/>
        <v>0</v>
      </c>
      <c r="I57" s="210">
        <f t="shared" si="20"/>
        <v>0</v>
      </c>
      <c r="J57" s="210">
        <f t="shared" si="20"/>
        <v>0</v>
      </c>
      <c r="K57" s="210">
        <f t="shared" si="20"/>
        <v>0</v>
      </c>
      <c r="L57" s="210">
        <f t="shared" si="20"/>
        <v>0</v>
      </c>
      <c r="M57" s="212">
        <f t="shared" si="16"/>
        <v>0</v>
      </c>
      <c r="N57" s="212" t="e">
        <f>M57/M50</f>
        <v>#DIV/0!</v>
      </c>
    </row>
    <row r="58" spans="2:16" hidden="1" x14ac:dyDescent="0.2">
      <c r="B58" s="165" t="s">
        <v>208</v>
      </c>
      <c r="C58" s="210">
        <f>IF(C36="-",0,C36)</f>
        <v>0</v>
      </c>
      <c r="D58" s="210">
        <f t="shared" ref="D58:L58" si="21">IF(D36="-",0,D36)</f>
        <v>0</v>
      </c>
      <c r="E58" s="210">
        <f t="shared" si="21"/>
        <v>0</v>
      </c>
      <c r="F58" s="210">
        <f t="shared" si="21"/>
        <v>0</v>
      </c>
      <c r="G58" s="210">
        <f t="shared" si="21"/>
        <v>0</v>
      </c>
      <c r="H58" s="210">
        <f t="shared" si="21"/>
        <v>0</v>
      </c>
      <c r="I58" s="210">
        <f t="shared" si="21"/>
        <v>0</v>
      </c>
      <c r="J58" s="210">
        <f t="shared" si="21"/>
        <v>0</v>
      </c>
      <c r="K58" s="210">
        <f t="shared" si="21"/>
        <v>0</v>
      </c>
      <c r="L58" s="210">
        <f t="shared" si="21"/>
        <v>0</v>
      </c>
      <c r="M58" s="212">
        <f t="shared" si="16"/>
        <v>0</v>
      </c>
      <c r="N58" s="210"/>
    </row>
    <row r="59" spans="2:16" hidden="1" x14ac:dyDescent="0.2">
      <c r="B59" s="165" t="s">
        <v>209</v>
      </c>
      <c r="C59" s="210">
        <f>C58*C50</f>
        <v>0</v>
      </c>
      <c r="D59" s="210">
        <f t="shared" ref="D59:L59" si="22">D58*D50</f>
        <v>0</v>
      </c>
      <c r="E59" s="210">
        <f t="shared" si="22"/>
        <v>0</v>
      </c>
      <c r="F59" s="210">
        <f t="shared" si="22"/>
        <v>0</v>
      </c>
      <c r="G59" s="210">
        <f t="shared" si="22"/>
        <v>0</v>
      </c>
      <c r="H59" s="210">
        <f t="shared" si="22"/>
        <v>0</v>
      </c>
      <c r="I59" s="210">
        <f t="shared" si="22"/>
        <v>0</v>
      </c>
      <c r="J59" s="210">
        <f t="shared" si="22"/>
        <v>0</v>
      </c>
      <c r="K59" s="210">
        <f t="shared" si="22"/>
        <v>0</v>
      </c>
      <c r="L59" s="210">
        <f t="shared" si="22"/>
        <v>0</v>
      </c>
      <c r="M59" s="212">
        <f t="shared" si="16"/>
        <v>0</v>
      </c>
      <c r="N59" s="212" t="e">
        <f>M59/M50</f>
        <v>#DIV/0!</v>
      </c>
    </row>
    <row r="60" spans="2:16" hidden="1" x14ac:dyDescent="0.2"/>
    <row r="61" spans="2:16" hidden="1" x14ac:dyDescent="0.2">
      <c r="B61" s="20" t="s">
        <v>236</v>
      </c>
      <c r="C61" s="17">
        <f>IF(C26="-",0,C50*C26)</f>
        <v>0</v>
      </c>
      <c r="D61" s="17">
        <f t="shared" ref="D61:L61" si="23">IF(D26="-",0,D50*D26)</f>
        <v>0</v>
      </c>
      <c r="E61" s="17">
        <f t="shared" si="23"/>
        <v>0</v>
      </c>
      <c r="F61" s="17">
        <f t="shared" si="23"/>
        <v>0</v>
      </c>
      <c r="G61" s="17">
        <f t="shared" si="23"/>
        <v>0</v>
      </c>
      <c r="H61" s="17">
        <f t="shared" si="23"/>
        <v>0</v>
      </c>
      <c r="I61" s="17">
        <f t="shared" si="23"/>
        <v>0</v>
      </c>
      <c r="J61" s="17">
        <f t="shared" si="23"/>
        <v>0</v>
      </c>
      <c r="K61" s="17">
        <f t="shared" si="23"/>
        <v>0</v>
      </c>
      <c r="L61" s="17">
        <f t="shared" si="23"/>
        <v>0</v>
      </c>
      <c r="M61" s="17">
        <f>SUM(C61:L61)</f>
        <v>0</v>
      </c>
      <c r="N61" s="17" t="e">
        <f>M61/M50</f>
        <v>#DIV/0!</v>
      </c>
      <c r="O61" s="172" t="e">
        <f>M52/M61</f>
        <v>#DIV/0!</v>
      </c>
    </row>
    <row r="62" spans="2:16" hidden="1" x14ac:dyDescent="0.2"/>
    <row r="63" spans="2:16" hidden="1" x14ac:dyDescent="0.2"/>
    <row r="64" spans="2:16" hidden="1" x14ac:dyDescent="0.2"/>
    <row r="65" spans="2:12" hidden="1" x14ac:dyDescent="0.2"/>
    <row r="66" spans="2:12" hidden="1" x14ac:dyDescent="0.2"/>
    <row r="67" spans="2:12" hidden="1" x14ac:dyDescent="0.2"/>
    <row r="68" spans="2:12" hidden="1" x14ac:dyDescent="0.2"/>
    <row r="69" spans="2:12" hidden="1" x14ac:dyDescent="0.2"/>
    <row r="70" spans="2:12" hidden="1" x14ac:dyDescent="0.2">
      <c r="C70" s="167" t="s">
        <v>214</v>
      </c>
    </row>
    <row r="71" spans="2:12" hidden="1" x14ac:dyDescent="0.2">
      <c r="C71" s="167" t="s">
        <v>215</v>
      </c>
    </row>
    <row r="72" spans="2:12" hidden="1" x14ac:dyDescent="0.2">
      <c r="C72" s="167" t="s">
        <v>216</v>
      </c>
    </row>
    <row r="73" spans="2:12" hidden="1" x14ac:dyDescent="0.2">
      <c r="C73" s="160">
        <v>1</v>
      </c>
      <c r="D73" s="160">
        <v>1</v>
      </c>
      <c r="E73" s="160">
        <v>1</v>
      </c>
      <c r="F73" s="160">
        <v>1</v>
      </c>
      <c r="G73" s="160">
        <v>1</v>
      </c>
      <c r="H73" s="160">
        <v>1</v>
      </c>
      <c r="I73" s="160">
        <v>1</v>
      </c>
      <c r="J73" s="160">
        <v>1</v>
      </c>
      <c r="K73" s="160">
        <v>1</v>
      </c>
      <c r="L73" s="160">
        <v>1</v>
      </c>
    </row>
    <row r="74" spans="2:12" hidden="1" x14ac:dyDescent="0.2"/>
    <row r="75" spans="2:12" hidden="1" x14ac:dyDescent="0.2"/>
    <row r="76" spans="2:12" hidden="1" x14ac:dyDescent="0.2"/>
    <row r="77" spans="2:12" hidden="1" x14ac:dyDescent="0.2"/>
    <row r="78" spans="2:12" hidden="1" x14ac:dyDescent="0.2"/>
    <row r="79" spans="2:12" ht="13.5" hidden="1" thickBot="1" x14ac:dyDescent="0.25"/>
    <row r="80" spans="2:12" hidden="1" x14ac:dyDescent="0.2">
      <c r="B80" s="16" t="s">
        <v>214</v>
      </c>
      <c r="C80" s="21">
        <f>C3</f>
        <v>0</v>
      </c>
      <c r="D80" s="21">
        <f t="shared" ref="D80:L80" si="24">D3</f>
        <v>0</v>
      </c>
      <c r="E80" s="21">
        <f t="shared" si="24"/>
        <v>0</v>
      </c>
      <c r="F80" s="21">
        <f t="shared" si="24"/>
        <v>0</v>
      </c>
      <c r="G80" s="21">
        <f t="shared" si="24"/>
        <v>0</v>
      </c>
      <c r="H80" s="21">
        <f t="shared" si="24"/>
        <v>0</v>
      </c>
      <c r="I80" s="21">
        <f t="shared" si="24"/>
        <v>0</v>
      </c>
      <c r="J80" s="21">
        <f t="shared" si="24"/>
        <v>0</v>
      </c>
      <c r="K80" s="21">
        <f t="shared" si="24"/>
        <v>0</v>
      </c>
      <c r="L80" s="21">
        <f t="shared" si="24"/>
        <v>0</v>
      </c>
    </row>
    <row r="81" spans="2:12" hidden="1" x14ac:dyDescent="0.2">
      <c r="B81" s="29" t="str">
        <f>B4</f>
        <v/>
      </c>
      <c r="C81" s="22" t="str">
        <f>IF(C$73=2,C4,"")</f>
        <v/>
      </c>
      <c r="D81" s="22" t="str">
        <f t="shared" ref="D81:L81" si="25">IF(D$73=2,D4,"")</f>
        <v/>
      </c>
      <c r="E81" s="22" t="str">
        <f t="shared" si="25"/>
        <v/>
      </c>
      <c r="F81" s="22" t="str">
        <f t="shared" si="25"/>
        <v/>
      </c>
      <c r="G81" s="22" t="str">
        <f t="shared" si="25"/>
        <v/>
      </c>
      <c r="H81" s="22" t="str">
        <f t="shared" si="25"/>
        <v/>
      </c>
      <c r="I81" s="22" t="str">
        <f t="shared" si="25"/>
        <v/>
      </c>
      <c r="J81" s="22" t="str">
        <f t="shared" si="25"/>
        <v/>
      </c>
      <c r="K81" s="22" t="str">
        <f t="shared" si="25"/>
        <v/>
      </c>
      <c r="L81" s="22" t="str">
        <f t="shared" si="25"/>
        <v/>
      </c>
    </row>
    <row r="82" spans="2:12" hidden="1" x14ac:dyDescent="0.2">
      <c r="B82" s="29" t="str">
        <f t="shared" ref="B82:B100" si="26">B5</f>
        <v/>
      </c>
      <c r="C82" s="22" t="str">
        <f t="shared" ref="C82:L82" si="27">IF(C$73=2,C5,"")</f>
        <v/>
      </c>
      <c r="D82" s="22" t="str">
        <f t="shared" si="27"/>
        <v/>
      </c>
      <c r="E82" s="22" t="str">
        <f t="shared" si="27"/>
        <v/>
      </c>
      <c r="F82" s="22" t="str">
        <f t="shared" si="27"/>
        <v/>
      </c>
      <c r="G82" s="22" t="str">
        <f t="shared" si="27"/>
        <v/>
      </c>
      <c r="H82" s="22" t="str">
        <f t="shared" si="27"/>
        <v/>
      </c>
      <c r="I82" s="22" t="str">
        <f t="shared" si="27"/>
        <v/>
      </c>
      <c r="J82" s="22" t="str">
        <f t="shared" si="27"/>
        <v/>
      </c>
      <c r="K82" s="22" t="str">
        <f t="shared" si="27"/>
        <v/>
      </c>
      <c r="L82" s="22" t="str">
        <f t="shared" si="27"/>
        <v/>
      </c>
    </row>
    <row r="83" spans="2:12" hidden="1" x14ac:dyDescent="0.2">
      <c r="B83" s="29" t="str">
        <f t="shared" si="26"/>
        <v/>
      </c>
      <c r="C83" s="22" t="str">
        <f t="shared" ref="C83:L83" si="28">IF(C$73=2,C6,"")</f>
        <v/>
      </c>
      <c r="D83" s="22" t="str">
        <f t="shared" si="28"/>
        <v/>
      </c>
      <c r="E83" s="22" t="str">
        <f t="shared" si="28"/>
        <v/>
      </c>
      <c r="F83" s="22" t="str">
        <f t="shared" si="28"/>
        <v/>
      </c>
      <c r="G83" s="22" t="str">
        <f t="shared" si="28"/>
        <v/>
      </c>
      <c r="H83" s="22" t="str">
        <f t="shared" si="28"/>
        <v/>
      </c>
      <c r="I83" s="22" t="str">
        <f t="shared" si="28"/>
        <v/>
      </c>
      <c r="J83" s="22" t="str">
        <f t="shared" si="28"/>
        <v/>
      </c>
      <c r="K83" s="22" t="str">
        <f t="shared" si="28"/>
        <v/>
      </c>
      <c r="L83" s="22" t="str">
        <f t="shared" si="28"/>
        <v/>
      </c>
    </row>
    <row r="84" spans="2:12" hidden="1" x14ac:dyDescent="0.2">
      <c r="B84" s="29" t="str">
        <f t="shared" si="26"/>
        <v/>
      </c>
      <c r="C84" s="22" t="str">
        <f t="shared" ref="C84:L84" si="29">IF(C$73=2,C7,"")</f>
        <v/>
      </c>
      <c r="D84" s="22" t="str">
        <f t="shared" si="29"/>
        <v/>
      </c>
      <c r="E84" s="22" t="str">
        <f t="shared" si="29"/>
        <v/>
      </c>
      <c r="F84" s="22" t="str">
        <f t="shared" si="29"/>
        <v/>
      </c>
      <c r="G84" s="22" t="str">
        <f t="shared" si="29"/>
        <v/>
      </c>
      <c r="H84" s="22" t="str">
        <f t="shared" si="29"/>
        <v/>
      </c>
      <c r="I84" s="22" t="str">
        <f t="shared" si="29"/>
        <v/>
      </c>
      <c r="J84" s="22" t="str">
        <f t="shared" si="29"/>
        <v/>
      </c>
      <c r="K84" s="22" t="str">
        <f t="shared" si="29"/>
        <v/>
      </c>
      <c r="L84" s="22" t="str">
        <f t="shared" si="29"/>
        <v/>
      </c>
    </row>
    <row r="85" spans="2:12" hidden="1" x14ac:dyDescent="0.2">
      <c r="B85" s="29" t="str">
        <f t="shared" si="26"/>
        <v/>
      </c>
      <c r="C85" s="22" t="str">
        <f t="shared" ref="C85:L85" si="30">IF(C$73=2,C8,"")</f>
        <v/>
      </c>
      <c r="D85" s="22" t="str">
        <f t="shared" si="30"/>
        <v/>
      </c>
      <c r="E85" s="22" t="str">
        <f t="shared" si="30"/>
        <v/>
      </c>
      <c r="F85" s="22" t="str">
        <f t="shared" si="30"/>
        <v/>
      </c>
      <c r="G85" s="22" t="str">
        <f t="shared" si="30"/>
        <v/>
      </c>
      <c r="H85" s="22" t="str">
        <f t="shared" si="30"/>
        <v/>
      </c>
      <c r="I85" s="22" t="str">
        <f t="shared" si="30"/>
        <v/>
      </c>
      <c r="J85" s="22" t="str">
        <f t="shared" si="30"/>
        <v/>
      </c>
      <c r="K85" s="22" t="str">
        <f t="shared" si="30"/>
        <v/>
      </c>
      <c r="L85" s="22" t="str">
        <f t="shared" si="30"/>
        <v/>
      </c>
    </row>
    <row r="86" spans="2:12" hidden="1" x14ac:dyDescent="0.2">
      <c r="B86" s="29" t="str">
        <f t="shared" si="26"/>
        <v/>
      </c>
      <c r="C86" s="22" t="str">
        <f t="shared" ref="C86:L86" si="31">IF(C$73=2,C9,"")</f>
        <v/>
      </c>
      <c r="D86" s="22" t="str">
        <f t="shared" si="31"/>
        <v/>
      </c>
      <c r="E86" s="22" t="str">
        <f t="shared" si="31"/>
        <v/>
      </c>
      <c r="F86" s="22" t="str">
        <f t="shared" si="31"/>
        <v/>
      </c>
      <c r="G86" s="22" t="str">
        <f t="shared" si="31"/>
        <v/>
      </c>
      <c r="H86" s="22" t="str">
        <f t="shared" si="31"/>
        <v/>
      </c>
      <c r="I86" s="22" t="str">
        <f t="shared" si="31"/>
        <v/>
      </c>
      <c r="J86" s="22" t="str">
        <f t="shared" si="31"/>
        <v/>
      </c>
      <c r="K86" s="22" t="str">
        <f t="shared" si="31"/>
        <v/>
      </c>
      <c r="L86" s="22" t="str">
        <f t="shared" si="31"/>
        <v/>
      </c>
    </row>
    <row r="87" spans="2:12" hidden="1" x14ac:dyDescent="0.2">
      <c r="B87" s="29" t="str">
        <f t="shared" si="26"/>
        <v/>
      </c>
      <c r="C87" s="22" t="str">
        <f t="shared" ref="C87:L87" si="32">IF(C$73=2,C10,"")</f>
        <v/>
      </c>
      <c r="D87" s="22" t="str">
        <f t="shared" si="32"/>
        <v/>
      </c>
      <c r="E87" s="22" t="str">
        <f t="shared" si="32"/>
        <v/>
      </c>
      <c r="F87" s="22" t="str">
        <f t="shared" si="32"/>
        <v/>
      </c>
      <c r="G87" s="22" t="str">
        <f t="shared" si="32"/>
        <v/>
      </c>
      <c r="H87" s="22" t="str">
        <f t="shared" si="32"/>
        <v/>
      </c>
      <c r="I87" s="22" t="str">
        <f t="shared" si="32"/>
        <v/>
      </c>
      <c r="J87" s="22" t="str">
        <f t="shared" si="32"/>
        <v/>
      </c>
      <c r="K87" s="22" t="str">
        <f t="shared" si="32"/>
        <v/>
      </c>
      <c r="L87" s="22" t="str">
        <f t="shared" si="32"/>
        <v/>
      </c>
    </row>
    <row r="88" spans="2:12" hidden="1" x14ac:dyDescent="0.2">
      <c r="B88" s="29" t="str">
        <f t="shared" si="26"/>
        <v/>
      </c>
      <c r="C88" s="22" t="str">
        <f t="shared" ref="C88:L88" si="33">IF(C$73=2,C11,"")</f>
        <v/>
      </c>
      <c r="D88" s="22" t="str">
        <f t="shared" si="33"/>
        <v/>
      </c>
      <c r="E88" s="22" t="str">
        <f t="shared" si="33"/>
        <v/>
      </c>
      <c r="F88" s="22" t="str">
        <f t="shared" si="33"/>
        <v/>
      </c>
      <c r="G88" s="22" t="str">
        <f t="shared" si="33"/>
        <v/>
      </c>
      <c r="H88" s="22" t="str">
        <f t="shared" si="33"/>
        <v/>
      </c>
      <c r="I88" s="22" t="str">
        <f t="shared" si="33"/>
        <v/>
      </c>
      <c r="J88" s="22" t="str">
        <f t="shared" si="33"/>
        <v/>
      </c>
      <c r="K88" s="22" t="str">
        <f t="shared" si="33"/>
        <v/>
      </c>
      <c r="L88" s="22" t="str">
        <f t="shared" si="33"/>
        <v/>
      </c>
    </row>
    <row r="89" spans="2:12" hidden="1" x14ac:dyDescent="0.2">
      <c r="B89" s="29" t="str">
        <f t="shared" si="26"/>
        <v/>
      </c>
      <c r="C89" s="22" t="str">
        <f t="shared" ref="C89:L89" si="34">IF(C$73=2,C12,"")</f>
        <v/>
      </c>
      <c r="D89" s="22" t="str">
        <f t="shared" si="34"/>
        <v/>
      </c>
      <c r="E89" s="22" t="str">
        <f t="shared" si="34"/>
        <v/>
      </c>
      <c r="F89" s="22" t="str">
        <f t="shared" si="34"/>
        <v/>
      </c>
      <c r="G89" s="22" t="str">
        <f t="shared" si="34"/>
        <v/>
      </c>
      <c r="H89" s="22" t="str">
        <f t="shared" si="34"/>
        <v/>
      </c>
      <c r="I89" s="22" t="str">
        <f t="shared" si="34"/>
        <v/>
      </c>
      <c r="J89" s="22" t="str">
        <f t="shared" si="34"/>
        <v/>
      </c>
      <c r="K89" s="22" t="str">
        <f t="shared" si="34"/>
        <v/>
      </c>
      <c r="L89" s="22" t="str">
        <f t="shared" si="34"/>
        <v/>
      </c>
    </row>
    <row r="90" spans="2:12" hidden="1" x14ac:dyDescent="0.2">
      <c r="B90" s="29" t="str">
        <f t="shared" si="26"/>
        <v/>
      </c>
      <c r="C90" s="22" t="str">
        <f t="shared" ref="C90:L90" si="35">IF(C$73=2,C13,"")</f>
        <v/>
      </c>
      <c r="D90" s="22" t="str">
        <f t="shared" si="35"/>
        <v/>
      </c>
      <c r="E90" s="22" t="str">
        <f t="shared" si="35"/>
        <v/>
      </c>
      <c r="F90" s="22" t="str">
        <f t="shared" si="35"/>
        <v/>
      </c>
      <c r="G90" s="22" t="str">
        <f t="shared" si="35"/>
        <v/>
      </c>
      <c r="H90" s="22" t="str">
        <f t="shared" si="35"/>
        <v/>
      </c>
      <c r="I90" s="22" t="str">
        <f t="shared" si="35"/>
        <v/>
      </c>
      <c r="J90" s="22" t="str">
        <f t="shared" si="35"/>
        <v/>
      </c>
      <c r="K90" s="22" t="str">
        <f t="shared" si="35"/>
        <v/>
      </c>
      <c r="L90" s="22" t="str">
        <f t="shared" si="35"/>
        <v/>
      </c>
    </row>
    <row r="91" spans="2:12" hidden="1" x14ac:dyDescent="0.2">
      <c r="B91" s="29" t="str">
        <f t="shared" si="26"/>
        <v/>
      </c>
      <c r="C91" s="22" t="str">
        <f t="shared" ref="C91:L91" si="36">IF(C$73=2,C14,"")</f>
        <v/>
      </c>
      <c r="D91" s="22" t="str">
        <f t="shared" si="36"/>
        <v/>
      </c>
      <c r="E91" s="22" t="str">
        <f t="shared" si="36"/>
        <v/>
      </c>
      <c r="F91" s="22" t="str">
        <f t="shared" si="36"/>
        <v/>
      </c>
      <c r="G91" s="22" t="str">
        <f t="shared" si="36"/>
        <v/>
      </c>
      <c r="H91" s="22" t="str">
        <f t="shared" si="36"/>
        <v/>
      </c>
      <c r="I91" s="22" t="str">
        <f t="shared" si="36"/>
        <v/>
      </c>
      <c r="J91" s="22" t="str">
        <f t="shared" si="36"/>
        <v/>
      </c>
      <c r="K91" s="22" t="str">
        <f t="shared" si="36"/>
        <v/>
      </c>
      <c r="L91" s="22" t="str">
        <f t="shared" si="36"/>
        <v/>
      </c>
    </row>
    <row r="92" spans="2:12" hidden="1" x14ac:dyDescent="0.2">
      <c r="B92" s="29" t="str">
        <f t="shared" si="26"/>
        <v/>
      </c>
      <c r="C92" s="22" t="str">
        <f t="shared" ref="C92:L92" si="37">IF(C$73=2,C15,"")</f>
        <v/>
      </c>
      <c r="D92" s="22" t="str">
        <f t="shared" si="37"/>
        <v/>
      </c>
      <c r="E92" s="22" t="str">
        <f t="shared" si="37"/>
        <v/>
      </c>
      <c r="F92" s="22" t="str">
        <f t="shared" si="37"/>
        <v/>
      </c>
      <c r="G92" s="22" t="str">
        <f t="shared" si="37"/>
        <v/>
      </c>
      <c r="H92" s="22" t="str">
        <f t="shared" si="37"/>
        <v/>
      </c>
      <c r="I92" s="22" t="str">
        <f t="shared" si="37"/>
        <v/>
      </c>
      <c r="J92" s="22" t="str">
        <f t="shared" si="37"/>
        <v/>
      </c>
      <c r="K92" s="22" t="str">
        <f t="shared" si="37"/>
        <v/>
      </c>
      <c r="L92" s="22" t="str">
        <f t="shared" si="37"/>
        <v/>
      </c>
    </row>
    <row r="93" spans="2:12" hidden="1" x14ac:dyDescent="0.2">
      <c r="B93" s="29" t="str">
        <f t="shared" si="26"/>
        <v/>
      </c>
      <c r="C93" s="22" t="str">
        <f t="shared" ref="C93:L93" si="38">IF(C$73=2,C16,"")</f>
        <v/>
      </c>
      <c r="D93" s="22" t="str">
        <f t="shared" si="38"/>
        <v/>
      </c>
      <c r="E93" s="22" t="str">
        <f t="shared" si="38"/>
        <v/>
      </c>
      <c r="F93" s="22" t="str">
        <f t="shared" si="38"/>
        <v/>
      </c>
      <c r="G93" s="22" t="str">
        <f t="shared" si="38"/>
        <v/>
      </c>
      <c r="H93" s="22" t="str">
        <f t="shared" si="38"/>
        <v/>
      </c>
      <c r="I93" s="22" t="str">
        <f t="shared" si="38"/>
        <v/>
      </c>
      <c r="J93" s="22" t="str">
        <f t="shared" si="38"/>
        <v/>
      </c>
      <c r="K93" s="22" t="str">
        <f t="shared" si="38"/>
        <v/>
      </c>
      <c r="L93" s="22" t="str">
        <f t="shared" si="38"/>
        <v/>
      </c>
    </row>
    <row r="94" spans="2:12" hidden="1" x14ac:dyDescent="0.2">
      <c r="B94" s="29" t="str">
        <f t="shared" si="26"/>
        <v/>
      </c>
      <c r="C94" s="22" t="str">
        <f t="shared" ref="C94:L94" si="39">IF(C$73=2,C17,"")</f>
        <v/>
      </c>
      <c r="D94" s="22" t="str">
        <f t="shared" si="39"/>
        <v/>
      </c>
      <c r="E94" s="22" t="str">
        <f t="shared" si="39"/>
        <v/>
      </c>
      <c r="F94" s="22" t="str">
        <f t="shared" si="39"/>
        <v/>
      </c>
      <c r="G94" s="22" t="str">
        <f t="shared" si="39"/>
        <v/>
      </c>
      <c r="H94" s="22" t="str">
        <f t="shared" si="39"/>
        <v/>
      </c>
      <c r="I94" s="22" t="str">
        <f t="shared" si="39"/>
        <v/>
      </c>
      <c r="J94" s="22" t="str">
        <f t="shared" si="39"/>
        <v/>
      </c>
      <c r="K94" s="22" t="str">
        <f t="shared" si="39"/>
        <v/>
      </c>
      <c r="L94" s="22" t="str">
        <f t="shared" si="39"/>
        <v/>
      </c>
    </row>
    <row r="95" spans="2:12" hidden="1" x14ac:dyDescent="0.2">
      <c r="B95" s="29" t="str">
        <f t="shared" si="26"/>
        <v/>
      </c>
      <c r="C95" s="22" t="str">
        <f t="shared" ref="C95:L95" si="40">IF(C$73=2,C18,"")</f>
        <v/>
      </c>
      <c r="D95" s="22" t="str">
        <f t="shared" si="40"/>
        <v/>
      </c>
      <c r="E95" s="22" t="str">
        <f t="shared" si="40"/>
        <v/>
      </c>
      <c r="F95" s="22" t="str">
        <f t="shared" si="40"/>
        <v/>
      </c>
      <c r="G95" s="22" t="str">
        <f t="shared" si="40"/>
        <v/>
      </c>
      <c r="H95" s="22" t="str">
        <f t="shared" si="40"/>
        <v/>
      </c>
      <c r="I95" s="22" t="str">
        <f t="shared" si="40"/>
        <v/>
      </c>
      <c r="J95" s="22" t="str">
        <f t="shared" si="40"/>
        <v/>
      </c>
      <c r="K95" s="22" t="str">
        <f t="shared" si="40"/>
        <v/>
      </c>
      <c r="L95" s="22" t="str">
        <f t="shared" si="40"/>
        <v/>
      </c>
    </row>
    <row r="96" spans="2:12" hidden="1" x14ac:dyDescent="0.2">
      <c r="B96" s="29" t="str">
        <f t="shared" si="26"/>
        <v/>
      </c>
      <c r="C96" s="22" t="str">
        <f t="shared" ref="C96:L96" si="41">IF(C$73=2,C19,"")</f>
        <v/>
      </c>
      <c r="D96" s="22" t="str">
        <f t="shared" si="41"/>
        <v/>
      </c>
      <c r="E96" s="22" t="str">
        <f t="shared" si="41"/>
        <v/>
      </c>
      <c r="F96" s="22" t="str">
        <f t="shared" si="41"/>
        <v/>
      </c>
      <c r="G96" s="22" t="str">
        <f t="shared" si="41"/>
        <v/>
      </c>
      <c r="H96" s="22" t="str">
        <f t="shared" si="41"/>
        <v/>
      </c>
      <c r="I96" s="22" t="str">
        <f t="shared" si="41"/>
        <v/>
      </c>
      <c r="J96" s="22" t="str">
        <f t="shared" si="41"/>
        <v/>
      </c>
      <c r="K96" s="22" t="str">
        <f t="shared" si="41"/>
        <v/>
      </c>
      <c r="L96" s="22" t="str">
        <f t="shared" si="41"/>
        <v/>
      </c>
    </row>
    <row r="97" spans="2:12" hidden="1" x14ac:dyDescent="0.2">
      <c r="B97" s="29" t="str">
        <f t="shared" si="26"/>
        <v/>
      </c>
      <c r="C97" s="22" t="str">
        <f t="shared" ref="C97:L97" si="42">IF(C$73=2,C20,"")</f>
        <v/>
      </c>
      <c r="D97" s="22" t="str">
        <f t="shared" si="42"/>
        <v/>
      </c>
      <c r="E97" s="22" t="str">
        <f t="shared" si="42"/>
        <v/>
      </c>
      <c r="F97" s="22" t="str">
        <f t="shared" si="42"/>
        <v/>
      </c>
      <c r="G97" s="22" t="str">
        <f t="shared" si="42"/>
        <v/>
      </c>
      <c r="H97" s="22" t="str">
        <f t="shared" si="42"/>
        <v/>
      </c>
      <c r="I97" s="22" t="str">
        <f t="shared" si="42"/>
        <v/>
      </c>
      <c r="J97" s="22" t="str">
        <f t="shared" si="42"/>
        <v/>
      </c>
      <c r="K97" s="22" t="str">
        <f t="shared" si="42"/>
        <v/>
      </c>
      <c r="L97" s="22" t="str">
        <f t="shared" si="42"/>
        <v/>
      </c>
    </row>
    <row r="98" spans="2:12" hidden="1" x14ac:dyDescent="0.2">
      <c r="B98" s="29" t="str">
        <f t="shared" si="26"/>
        <v/>
      </c>
      <c r="C98" s="22" t="str">
        <f t="shared" ref="C98:L98" si="43">IF(C$73=2,C21,"")</f>
        <v/>
      </c>
      <c r="D98" s="22" t="str">
        <f t="shared" si="43"/>
        <v/>
      </c>
      <c r="E98" s="22" t="str">
        <f t="shared" si="43"/>
        <v/>
      </c>
      <c r="F98" s="22" t="str">
        <f t="shared" si="43"/>
        <v/>
      </c>
      <c r="G98" s="22" t="str">
        <f t="shared" si="43"/>
        <v/>
      </c>
      <c r="H98" s="22" t="str">
        <f t="shared" si="43"/>
        <v/>
      </c>
      <c r="I98" s="22" t="str">
        <f t="shared" si="43"/>
        <v/>
      </c>
      <c r="J98" s="22" t="str">
        <f t="shared" si="43"/>
        <v/>
      </c>
      <c r="K98" s="22" t="str">
        <f t="shared" si="43"/>
        <v/>
      </c>
      <c r="L98" s="22" t="str">
        <f t="shared" si="43"/>
        <v/>
      </c>
    </row>
    <row r="99" spans="2:12" hidden="1" x14ac:dyDescent="0.2">
      <c r="B99" s="29" t="str">
        <f t="shared" si="26"/>
        <v/>
      </c>
      <c r="C99" s="22" t="str">
        <f t="shared" ref="C99:L99" si="44">IF(C$73=2,C22,"")</f>
        <v/>
      </c>
      <c r="D99" s="22" t="str">
        <f t="shared" si="44"/>
        <v/>
      </c>
      <c r="E99" s="22" t="str">
        <f t="shared" si="44"/>
        <v/>
      </c>
      <c r="F99" s="22" t="str">
        <f t="shared" si="44"/>
        <v/>
      </c>
      <c r="G99" s="22" t="str">
        <f t="shared" si="44"/>
        <v/>
      </c>
      <c r="H99" s="22" t="str">
        <f t="shared" si="44"/>
        <v/>
      </c>
      <c r="I99" s="22" t="str">
        <f t="shared" si="44"/>
        <v/>
      </c>
      <c r="J99" s="22" t="str">
        <f t="shared" si="44"/>
        <v/>
      </c>
      <c r="K99" s="22" t="str">
        <f t="shared" si="44"/>
        <v/>
      </c>
      <c r="L99" s="22" t="str">
        <f t="shared" si="44"/>
        <v/>
      </c>
    </row>
    <row r="100" spans="2:12" hidden="1" x14ac:dyDescent="0.2">
      <c r="B100" s="29" t="str">
        <f t="shared" si="26"/>
        <v/>
      </c>
      <c r="C100" s="22" t="str">
        <f t="shared" ref="C100:L100" si="45">IF(C$73=2,C23,"")</f>
        <v/>
      </c>
      <c r="D100" s="22" t="str">
        <f t="shared" si="45"/>
        <v/>
      </c>
      <c r="E100" s="22" t="str">
        <f t="shared" si="45"/>
        <v/>
      </c>
      <c r="F100" s="22" t="str">
        <f t="shared" si="45"/>
        <v/>
      </c>
      <c r="G100" s="22" t="str">
        <f t="shared" si="45"/>
        <v/>
      </c>
      <c r="H100" s="22" t="str">
        <f t="shared" si="45"/>
        <v/>
      </c>
      <c r="I100" s="22" t="str">
        <f t="shared" si="45"/>
        <v/>
      </c>
      <c r="J100" s="22" t="str">
        <f t="shared" si="45"/>
        <v/>
      </c>
      <c r="K100" s="22" t="str">
        <f t="shared" si="45"/>
        <v/>
      </c>
      <c r="L100" s="22" t="str">
        <f t="shared" si="45"/>
        <v/>
      </c>
    </row>
    <row r="101" spans="2:12" hidden="1" x14ac:dyDescent="0.2"/>
    <row r="102" spans="2:12" hidden="1" x14ac:dyDescent="0.2"/>
    <row r="103" spans="2:12" hidden="1" x14ac:dyDescent="0.2"/>
    <row r="104" spans="2:12" ht="13.5" hidden="1" thickBot="1" x14ac:dyDescent="0.25"/>
    <row r="105" spans="2:12" hidden="1" x14ac:dyDescent="0.2">
      <c r="B105" s="16" t="s">
        <v>215</v>
      </c>
      <c r="C105" s="21">
        <f>C3</f>
        <v>0</v>
      </c>
      <c r="D105" s="21">
        <f t="shared" ref="D105:L105" si="46">D3</f>
        <v>0</v>
      </c>
      <c r="E105" s="21">
        <f t="shared" si="46"/>
        <v>0</v>
      </c>
      <c r="F105" s="21">
        <f t="shared" si="46"/>
        <v>0</v>
      </c>
      <c r="G105" s="21">
        <f t="shared" si="46"/>
        <v>0</v>
      </c>
      <c r="H105" s="21">
        <f t="shared" si="46"/>
        <v>0</v>
      </c>
      <c r="I105" s="21">
        <f t="shared" si="46"/>
        <v>0</v>
      </c>
      <c r="J105" s="21">
        <f t="shared" si="46"/>
        <v>0</v>
      </c>
      <c r="K105" s="21">
        <f t="shared" si="46"/>
        <v>0</v>
      </c>
      <c r="L105" s="21">
        <f t="shared" si="46"/>
        <v>0</v>
      </c>
    </row>
    <row r="106" spans="2:12" hidden="1" x14ac:dyDescent="0.2">
      <c r="B106" s="29" t="str">
        <f>B4</f>
        <v/>
      </c>
      <c r="C106" s="22" t="str">
        <f>IF(C$73=3,C4,"")</f>
        <v/>
      </c>
      <c r="D106" s="22" t="str">
        <f t="shared" ref="D106:L106" si="47">IF(D$73=3,D4,"")</f>
        <v/>
      </c>
      <c r="E106" s="22" t="str">
        <f t="shared" si="47"/>
        <v/>
      </c>
      <c r="F106" s="22" t="str">
        <f t="shared" si="47"/>
        <v/>
      </c>
      <c r="G106" s="22" t="str">
        <f t="shared" si="47"/>
        <v/>
      </c>
      <c r="H106" s="22" t="str">
        <f t="shared" si="47"/>
        <v/>
      </c>
      <c r="I106" s="22" t="str">
        <f t="shared" si="47"/>
        <v/>
      </c>
      <c r="J106" s="22" t="str">
        <f t="shared" si="47"/>
        <v/>
      </c>
      <c r="K106" s="22" t="str">
        <f t="shared" si="47"/>
        <v/>
      </c>
      <c r="L106" s="22" t="str">
        <f t="shared" si="47"/>
        <v/>
      </c>
    </row>
    <row r="107" spans="2:12" hidden="1" x14ac:dyDescent="0.2">
      <c r="B107" s="29" t="str">
        <f t="shared" ref="B107:B125" si="48">B5</f>
        <v/>
      </c>
      <c r="C107" s="22" t="str">
        <f t="shared" ref="C107:L125" si="49">IF(C$73=3,C5,"")</f>
        <v/>
      </c>
      <c r="D107" s="22" t="str">
        <f t="shared" si="49"/>
        <v/>
      </c>
      <c r="E107" s="22" t="str">
        <f t="shared" si="49"/>
        <v/>
      </c>
      <c r="F107" s="22" t="str">
        <f t="shared" si="49"/>
        <v/>
      </c>
      <c r="G107" s="22" t="str">
        <f t="shared" si="49"/>
        <v/>
      </c>
      <c r="H107" s="22" t="str">
        <f t="shared" si="49"/>
        <v/>
      </c>
      <c r="I107" s="22" t="str">
        <f t="shared" si="49"/>
        <v/>
      </c>
      <c r="J107" s="22" t="str">
        <f t="shared" si="49"/>
        <v/>
      </c>
      <c r="K107" s="22" t="str">
        <f t="shared" si="49"/>
        <v/>
      </c>
      <c r="L107" s="22" t="str">
        <f t="shared" si="49"/>
        <v/>
      </c>
    </row>
    <row r="108" spans="2:12" hidden="1" x14ac:dyDescent="0.2">
      <c r="B108" s="29" t="str">
        <f t="shared" si="48"/>
        <v/>
      </c>
      <c r="C108" s="22" t="str">
        <f t="shared" si="49"/>
        <v/>
      </c>
      <c r="D108" s="22" t="str">
        <f t="shared" si="49"/>
        <v/>
      </c>
      <c r="E108" s="22" t="str">
        <f t="shared" si="49"/>
        <v/>
      </c>
      <c r="F108" s="22" t="str">
        <f t="shared" si="49"/>
        <v/>
      </c>
      <c r="G108" s="22" t="str">
        <f t="shared" si="49"/>
        <v/>
      </c>
      <c r="H108" s="22" t="str">
        <f t="shared" si="49"/>
        <v/>
      </c>
      <c r="I108" s="22" t="str">
        <f t="shared" si="49"/>
        <v/>
      </c>
      <c r="J108" s="22" t="str">
        <f t="shared" si="49"/>
        <v/>
      </c>
      <c r="K108" s="22" t="str">
        <f t="shared" si="49"/>
        <v/>
      </c>
      <c r="L108" s="22" t="str">
        <f t="shared" si="49"/>
        <v/>
      </c>
    </row>
    <row r="109" spans="2:12" hidden="1" x14ac:dyDescent="0.2">
      <c r="B109" s="29" t="str">
        <f t="shared" si="48"/>
        <v/>
      </c>
      <c r="C109" s="22" t="str">
        <f t="shared" si="49"/>
        <v/>
      </c>
      <c r="D109" s="22" t="str">
        <f t="shared" si="49"/>
        <v/>
      </c>
      <c r="E109" s="22" t="str">
        <f t="shared" si="49"/>
        <v/>
      </c>
      <c r="F109" s="22" t="str">
        <f t="shared" si="49"/>
        <v/>
      </c>
      <c r="G109" s="22" t="str">
        <f t="shared" si="49"/>
        <v/>
      </c>
      <c r="H109" s="22" t="str">
        <f t="shared" si="49"/>
        <v/>
      </c>
      <c r="I109" s="22" t="str">
        <f t="shared" si="49"/>
        <v/>
      </c>
      <c r="J109" s="22" t="str">
        <f t="shared" si="49"/>
        <v/>
      </c>
      <c r="K109" s="22" t="str">
        <f t="shared" si="49"/>
        <v/>
      </c>
      <c r="L109" s="22" t="str">
        <f t="shared" si="49"/>
        <v/>
      </c>
    </row>
    <row r="110" spans="2:12" hidden="1" x14ac:dyDescent="0.2">
      <c r="B110" s="29" t="str">
        <f t="shared" si="48"/>
        <v/>
      </c>
      <c r="C110" s="22" t="str">
        <f t="shared" si="49"/>
        <v/>
      </c>
      <c r="D110" s="22" t="str">
        <f t="shared" si="49"/>
        <v/>
      </c>
      <c r="E110" s="22" t="str">
        <f t="shared" si="49"/>
        <v/>
      </c>
      <c r="F110" s="22" t="str">
        <f t="shared" si="49"/>
        <v/>
      </c>
      <c r="G110" s="22" t="str">
        <f t="shared" si="49"/>
        <v/>
      </c>
      <c r="H110" s="22" t="str">
        <f t="shared" si="49"/>
        <v/>
      </c>
      <c r="I110" s="22" t="str">
        <f t="shared" si="49"/>
        <v/>
      </c>
      <c r="J110" s="22" t="str">
        <f t="shared" si="49"/>
        <v/>
      </c>
      <c r="K110" s="22" t="str">
        <f t="shared" si="49"/>
        <v/>
      </c>
      <c r="L110" s="22" t="str">
        <f t="shared" si="49"/>
        <v/>
      </c>
    </row>
    <row r="111" spans="2:12" hidden="1" x14ac:dyDescent="0.2">
      <c r="B111" s="29" t="str">
        <f t="shared" si="48"/>
        <v/>
      </c>
      <c r="C111" s="22" t="str">
        <f t="shared" si="49"/>
        <v/>
      </c>
      <c r="D111" s="22" t="str">
        <f t="shared" si="49"/>
        <v/>
      </c>
      <c r="E111" s="22" t="str">
        <f t="shared" si="49"/>
        <v/>
      </c>
      <c r="F111" s="22" t="str">
        <f t="shared" si="49"/>
        <v/>
      </c>
      <c r="G111" s="22" t="str">
        <f t="shared" si="49"/>
        <v/>
      </c>
      <c r="H111" s="22" t="str">
        <f t="shared" si="49"/>
        <v/>
      </c>
      <c r="I111" s="22" t="str">
        <f t="shared" si="49"/>
        <v/>
      </c>
      <c r="J111" s="22" t="str">
        <f t="shared" si="49"/>
        <v/>
      </c>
      <c r="K111" s="22" t="str">
        <f t="shared" si="49"/>
        <v/>
      </c>
      <c r="L111" s="22" t="str">
        <f t="shared" si="49"/>
        <v/>
      </c>
    </row>
    <row r="112" spans="2:12" hidden="1" x14ac:dyDescent="0.2">
      <c r="B112" s="29" t="str">
        <f t="shared" si="48"/>
        <v/>
      </c>
      <c r="C112" s="22" t="str">
        <f t="shared" si="49"/>
        <v/>
      </c>
      <c r="D112" s="22" t="str">
        <f t="shared" si="49"/>
        <v/>
      </c>
      <c r="E112" s="22" t="str">
        <f t="shared" si="49"/>
        <v/>
      </c>
      <c r="F112" s="22" t="str">
        <f t="shared" si="49"/>
        <v/>
      </c>
      <c r="G112" s="22" t="str">
        <f t="shared" si="49"/>
        <v/>
      </c>
      <c r="H112" s="22" t="str">
        <f t="shared" si="49"/>
        <v/>
      </c>
      <c r="I112" s="22" t="str">
        <f t="shared" si="49"/>
        <v/>
      </c>
      <c r="J112" s="22" t="str">
        <f t="shared" si="49"/>
        <v/>
      </c>
      <c r="K112" s="22" t="str">
        <f t="shared" si="49"/>
        <v/>
      </c>
      <c r="L112" s="22" t="str">
        <f t="shared" si="49"/>
        <v/>
      </c>
    </row>
    <row r="113" spans="2:12" hidden="1" x14ac:dyDescent="0.2">
      <c r="B113" s="29" t="str">
        <f t="shared" si="48"/>
        <v/>
      </c>
      <c r="C113" s="22" t="str">
        <f t="shared" si="49"/>
        <v/>
      </c>
      <c r="D113" s="22" t="str">
        <f t="shared" si="49"/>
        <v/>
      </c>
      <c r="E113" s="22" t="str">
        <f t="shared" si="49"/>
        <v/>
      </c>
      <c r="F113" s="22" t="str">
        <f t="shared" si="49"/>
        <v/>
      </c>
      <c r="G113" s="22" t="str">
        <f t="shared" si="49"/>
        <v/>
      </c>
      <c r="H113" s="22" t="str">
        <f t="shared" si="49"/>
        <v/>
      </c>
      <c r="I113" s="22" t="str">
        <f t="shared" si="49"/>
        <v/>
      </c>
      <c r="J113" s="22" t="str">
        <f t="shared" si="49"/>
        <v/>
      </c>
      <c r="K113" s="22" t="str">
        <f t="shared" si="49"/>
        <v/>
      </c>
      <c r="L113" s="22" t="str">
        <f t="shared" si="49"/>
        <v/>
      </c>
    </row>
    <row r="114" spans="2:12" hidden="1" x14ac:dyDescent="0.2">
      <c r="B114" s="29" t="str">
        <f t="shared" si="48"/>
        <v/>
      </c>
      <c r="C114" s="22" t="str">
        <f t="shared" si="49"/>
        <v/>
      </c>
      <c r="D114" s="22" t="str">
        <f t="shared" si="49"/>
        <v/>
      </c>
      <c r="E114" s="22" t="str">
        <f t="shared" si="49"/>
        <v/>
      </c>
      <c r="F114" s="22" t="str">
        <f t="shared" si="49"/>
        <v/>
      </c>
      <c r="G114" s="22" t="str">
        <f t="shared" si="49"/>
        <v/>
      </c>
      <c r="H114" s="22" t="str">
        <f t="shared" si="49"/>
        <v/>
      </c>
      <c r="I114" s="22" t="str">
        <f t="shared" si="49"/>
        <v/>
      </c>
      <c r="J114" s="22" t="str">
        <f t="shared" si="49"/>
        <v/>
      </c>
      <c r="K114" s="22" t="str">
        <f t="shared" si="49"/>
        <v/>
      </c>
      <c r="L114" s="22" t="str">
        <f t="shared" si="49"/>
        <v/>
      </c>
    </row>
    <row r="115" spans="2:12" hidden="1" x14ac:dyDescent="0.2">
      <c r="B115" s="29" t="str">
        <f t="shared" si="48"/>
        <v/>
      </c>
      <c r="C115" s="22" t="str">
        <f t="shared" si="49"/>
        <v/>
      </c>
      <c r="D115" s="22" t="str">
        <f t="shared" si="49"/>
        <v/>
      </c>
      <c r="E115" s="22" t="str">
        <f t="shared" si="49"/>
        <v/>
      </c>
      <c r="F115" s="22" t="str">
        <f t="shared" si="49"/>
        <v/>
      </c>
      <c r="G115" s="22" t="str">
        <f t="shared" si="49"/>
        <v/>
      </c>
      <c r="H115" s="22" t="str">
        <f t="shared" si="49"/>
        <v/>
      </c>
      <c r="I115" s="22" t="str">
        <f t="shared" si="49"/>
        <v/>
      </c>
      <c r="J115" s="22" t="str">
        <f t="shared" si="49"/>
        <v/>
      </c>
      <c r="K115" s="22" t="str">
        <f t="shared" si="49"/>
        <v/>
      </c>
      <c r="L115" s="22" t="str">
        <f t="shared" si="49"/>
        <v/>
      </c>
    </row>
    <row r="116" spans="2:12" hidden="1" x14ac:dyDescent="0.2">
      <c r="B116" s="29" t="str">
        <f t="shared" si="48"/>
        <v/>
      </c>
      <c r="C116" s="22" t="str">
        <f t="shared" si="49"/>
        <v/>
      </c>
      <c r="D116" s="22" t="str">
        <f t="shared" si="49"/>
        <v/>
      </c>
      <c r="E116" s="22" t="str">
        <f t="shared" si="49"/>
        <v/>
      </c>
      <c r="F116" s="22" t="str">
        <f t="shared" si="49"/>
        <v/>
      </c>
      <c r="G116" s="22" t="str">
        <f t="shared" si="49"/>
        <v/>
      </c>
      <c r="H116" s="22" t="str">
        <f t="shared" si="49"/>
        <v/>
      </c>
      <c r="I116" s="22" t="str">
        <f t="shared" si="49"/>
        <v/>
      </c>
      <c r="J116" s="22" t="str">
        <f t="shared" si="49"/>
        <v/>
      </c>
      <c r="K116" s="22" t="str">
        <f t="shared" si="49"/>
        <v/>
      </c>
      <c r="L116" s="22" t="str">
        <f t="shared" si="49"/>
        <v/>
      </c>
    </row>
    <row r="117" spans="2:12" hidden="1" x14ac:dyDescent="0.2">
      <c r="B117" s="29" t="str">
        <f t="shared" si="48"/>
        <v/>
      </c>
      <c r="C117" s="22" t="str">
        <f t="shared" si="49"/>
        <v/>
      </c>
      <c r="D117" s="22" t="str">
        <f t="shared" si="49"/>
        <v/>
      </c>
      <c r="E117" s="22" t="str">
        <f t="shared" si="49"/>
        <v/>
      </c>
      <c r="F117" s="22" t="str">
        <f t="shared" si="49"/>
        <v/>
      </c>
      <c r="G117" s="22" t="str">
        <f t="shared" si="49"/>
        <v/>
      </c>
      <c r="H117" s="22" t="str">
        <f t="shared" si="49"/>
        <v/>
      </c>
      <c r="I117" s="22" t="str">
        <f t="shared" si="49"/>
        <v/>
      </c>
      <c r="J117" s="22" t="str">
        <f t="shared" si="49"/>
        <v/>
      </c>
      <c r="K117" s="22" t="str">
        <f t="shared" si="49"/>
        <v/>
      </c>
      <c r="L117" s="22" t="str">
        <f t="shared" si="49"/>
        <v/>
      </c>
    </row>
    <row r="118" spans="2:12" hidden="1" x14ac:dyDescent="0.2">
      <c r="B118" s="29" t="str">
        <f t="shared" si="48"/>
        <v/>
      </c>
      <c r="C118" s="22" t="str">
        <f t="shared" si="49"/>
        <v/>
      </c>
      <c r="D118" s="22" t="str">
        <f t="shared" si="49"/>
        <v/>
      </c>
      <c r="E118" s="22" t="str">
        <f t="shared" si="49"/>
        <v/>
      </c>
      <c r="F118" s="22" t="str">
        <f t="shared" si="49"/>
        <v/>
      </c>
      <c r="G118" s="22" t="str">
        <f t="shared" si="49"/>
        <v/>
      </c>
      <c r="H118" s="22" t="str">
        <f t="shared" si="49"/>
        <v/>
      </c>
      <c r="I118" s="22" t="str">
        <f t="shared" si="49"/>
        <v/>
      </c>
      <c r="J118" s="22" t="str">
        <f t="shared" si="49"/>
        <v/>
      </c>
      <c r="K118" s="22" t="str">
        <f t="shared" si="49"/>
        <v/>
      </c>
      <c r="L118" s="22" t="str">
        <f t="shared" si="49"/>
        <v/>
      </c>
    </row>
    <row r="119" spans="2:12" hidden="1" x14ac:dyDescent="0.2">
      <c r="B119" s="29" t="str">
        <f t="shared" si="48"/>
        <v/>
      </c>
      <c r="C119" s="22" t="str">
        <f t="shared" si="49"/>
        <v/>
      </c>
      <c r="D119" s="22" t="str">
        <f t="shared" si="49"/>
        <v/>
      </c>
      <c r="E119" s="22" t="str">
        <f t="shared" si="49"/>
        <v/>
      </c>
      <c r="F119" s="22" t="str">
        <f t="shared" si="49"/>
        <v/>
      </c>
      <c r="G119" s="22" t="str">
        <f t="shared" si="49"/>
        <v/>
      </c>
      <c r="H119" s="22" t="str">
        <f t="shared" si="49"/>
        <v/>
      </c>
      <c r="I119" s="22" t="str">
        <f t="shared" si="49"/>
        <v/>
      </c>
      <c r="J119" s="22" t="str">
        <f t="shared" si="49"/>
        <v/>
      </c>
      <c r="K119" s="22" t="str">
        <f t="shared" si="49"/>
        <v/>
      </c>
      <c r="L119" s="22" t="str">
        <f t="shared" si="49"/>
        <v/>
      </c>
    </row>
    <row r="120" spans="2:12" hidden="1" x14ac:dyDescent="0.2">
      <c r="B120" s="29" t="str">
        <f t="shared" si="48"/>
        <v/>
      </c>
      <c r="C120" s="22" t="str">
        <f t="shared" si="49"/>
        <v/>
      </c>
      <c r="D120" s="22" t="str">
        <f t="shared" si="49"/>
        <v/>
      </c>
      <c r="E120" s="22" t="str">
        <f t="shared" si="49"/>
        <v/>
      </c>
      <c r="F120" s="22" t="str">
        <f t="shared" si="49"/>
        <v/>
      </c>
      <c r="G120" s="22" t="str">
        <f t="shared" si="49"/>
        <v/>
      </c>
      <c r="H120" s="22" t="str">
        <f t="shared" si="49"/>
        <v/>
      </c>
      <c r="I120" s="22" t="str">
        <f t="shared" si="49"/>
        <v/>
      </c>
      <c r="J120" s="22" t="str">
        <f t="shared" si="49"/>
        <v/>
      </c>
      <c r="K120" s="22" t="str">
        <f t="shared" si="49"/>
        <v/>
      </c>
      <c r="L120" s="22" t="str">
        <f t="shared" si="49"/>
        <v/>
      </c>
    </row>
    <row r="121" spans="2:12" hidden="1" x14ac:dyDescent="0.2">
      <c r="B121" s="29" t="str">
        <f t="shared" si="48"/>
        <v/>
      </c>
      <c r="C121" s="22" t="str">
        <f t="shared" si="49"/>
        <v/>
      </c>
      <c r="D121" s="22" t="str">
        <f t="shared" si="49"/>
        <v/>
      </c>
      <c r="E121" s="22" t="str">
        <f t="shared" si="49"/>
        <v/>
      </c>
      <c r="F121" s="22" t="str">
        <f t="shared" si="49"/>
        <v/>
      </c>
      <c r="G121" s="22" t="str">
        <f t="shared" si="49"/>
        <v/>
      </c>
      <c r="H121" s="22" t="str">
        <f t="shared" si="49"/>
        <v/>
      </c>
      <c r="I121" s="22" t="str">
        <f t="shared" si="49"/>
        <v/>
      </c>
      <c r="J121" s="22" t="str">
        <f t="shared" si="49"/>
        <v/>
      </c>
      <c r="K121" s="22" t="str">
        <f t="shared" si="49"/>
        <v/>
      </c>
      <c r="L121" s="22" t="str">
        <f t="shared" si="49"/>
        <v/>
      </c>
    </row>
    <row r="122" spans="2:12" hidden="1" x14ac:dyDescent="0.2">
      <c r="B122" s="29" t="str">
        <f t="shared" si="48"/>
        <v/>
      </c>
      <c r="C122" s="22" t="str">
        <f t="shared" si="49"/>
        <v/>
      </c>
      <c r="D122" s="22" t="str">
        <f t="shared" si="49"/>
        <v/>
      </c>
      <c r="E122" s="22" t="str">
        <f t="shared" si="49"/>
        <v/>
      </c>
      <c r="F122" s="22" t="str">
        <f t="shared" si="49"/>
        <v/>
      </c>
      <c r="G122" s="22" t="str">
        <f t="shared" si="49"/>
        <v/>
      </c>
      <c r="H122" s="22" t="str">
        <f t="shared" si="49"/>
        <v/>
      </c>
      <c r="I122" s="22" t="str">
        <f t="shared" si="49"/>
        <v/>
      </c>
      <c r="J122" s="22" t="str">
        <f t="shared" si="49"/>
        <v/>
      </c>
      <c r="K122" s="22" t="str">
        <f t="shared" si="49"/>
        <v/>
      </c>
      <c r="L122" s="22" t="str">
        <f t="shared" si="49"/>
        <v/>
      </c>
    </row>
    <row r="123" spans="2:12" hidden="1" x14ac:dyDescent="0.2">
      <c r="B123" s="29" t="str">
        <f t="shared" si="48"/>
        <v/>
      </c>
      <c r="C123" s="22" t="str">
        <f t="shared" si="49"/>
        <v/>
      </c>
      <c r="D123" s="22" t="str">
        <f t="shared" si="49"/>
        <v/>
      </c>
      <c r="E123" s="22" t="str">
        <f t="shared" si="49"/>
        <v/>
      </c>
      <c r="F123" s="22" t="str">
        <f t="shared" si="49"/>
        <v/>
      </c>
      <c r="G123" s="22" t="str">
        <f t="shared" si="49"/>
        <v/>
      </c>
      <c r="H123" s="22" t="str">
        <f t="shared" si="49"/>
        <v/>
      </c>
      <c r="I123" s="22" t="str">
        <f t="shared" si="49"/>
        <v/>
      </c>
      <c r="J123" s="22" t="str">
        <f t="shared" si="49"/>
        <v/>
      </c>
      <c r="K123" s="22" t="str">
        <f t="shared" si="49"/>
        <v/>
      </c>
      <c r="L123" s="22" t="str">
        <f t="shared" si="49"/>
        <v/>
      </c>
    </row>
    <row r="124" spans="2:12" hidden="1" x14ac:dyDescent="0.2">
      <c r="B124" s="29" t="str">
        <f t="shared" si="48"/>
        <v/>
      </c>
      <c r="C124" s="22" t="str">
        <f t="shared" si="49"/>
        <v/>
      </c>
      <c r="D124" s="22" t="str">
        <f t="shared" si="49"/>
        <v/>
      </c>
      <c r="E124" s="22" t="str">
        <f t="shared" si="49"/>
        <v/>
      </c>
      <c r="F124" s="22" t="str">
        <f t="shared" si="49"/>
        <v/>
      </c>
      <c r="G124" s="22" t="str">
        <f t="shared" si="49"/>
        <v/>
      </c>
      <c r="H124" s="22" t="str">
        <f t="shared" si="49"/>
        <v/>
      </c>
      <c r="I124" s="22" t="str">
        <f t="shared" si="49"/>
        <v/>
      </c>
      <c r="J124" s="22" t="str">
        <f t="shared" si="49"/>
        <v/>
      </c>
      <c r="K124" s="22" t="str">
        <f t="shared" si="49"/>
        <v/>
      </c>
      <c r="L124" s="22" t="str">
        <f t="shared" si="49"/>
        <v/>
      </c>
    </row>
    <row r="125" spans="2:12" hidden="1" x14ac:dyDescent="0.2">
      <c r="B125" s="29" t="str">
        <f t="shared" si="48"/>
        <v/>
      </c>
      <c r="C125" s="22" t="str">
        <f t="shared" si="49"/>
        <v/>
      </c>
      <c r="D125" s="22" t="str">
        <f t="shared" si="49"/>
        <v/>
      </c>
      <c r="E125" s="22" t="str">
        <f t="shared" si="49"/>
        <v/>
      </c>
      <c r="F125" s="22" t="str">
        <f t="shared" si="49"/>
        <v/>
      </c>
      <c r="G125" s="22" t="str">
        <f t="shared" si="49"/>
        <v/>
      </c>
      <c r="H125" s="22" t="str">
        <f t="shared" si="49"/>
        <v/>
      </c>
      <c r="I125" s="22" t="str">
        <f t="shared" si="49"/>
        <v/>
      </c>
      <c r="J125" s="22" t="str">
        <f t="shared" si="49"/>
        <v/>
      </c>
      <c r="K125" s="22" t="str">
        <f t="shared" si="49"/>
        <v/>
      </c>
      <c r="L125" s="22" t="str">
        <f t="shared" si="49"/>
        <v/>
      </c>
    </row>
    <row r="126" spans="2:12" hidden="1" x14ac:dyDescent="0.2"/>
    <row r="127" spans="2:12" hidden="1" x14ac:dyDescent="0.2"/>
    <row r="128" spans="2:12" hidden="1" x14ac:dyDescent="0.2"/>
    <row r="129" spans="2:12" ht="13.5" hidden="1" thickBot="1" x14ac:dyDescent="0.25"/>
    <row r="130" spans="2:12" hidden="1" x14ac:dyDescent="0.2">
      <c r="B130" s="16" t="s">
        <v>218</v>
      </c>
      <c r="C130" s="21">
        <f>C3</f>
        <v>0</v>
      </c>
      <c r="D130" s="21">
        <f t="shared" ref="D130:L130" si="50">D3</f>
        <v>0</v>
      </c>
      <c r="E130" s="21">
        <f t="shared" si="50"/>
        <v>0</v>
      </c>
      <c r="F130" s="21">
        <f t="shared" si="50"/>
        <v>0</v>
      </c>
      <c r="G130" s="21">
        <f t="shared" si="50"/>
        <v>0</v>
      </c>
      <c r="H130" s="21">
        <f t="shared" si="50"/>
        <v>0</v>
      </c>
      <c r="I130" s="21">
        <f t="shared" si="50"/>
        <v>0</v>
      </c>
      <c r="J130" s="21">
        <f t="shared" si="50"/>
        <v>0</v>
      </c>
      <c r="K130" s="21">
        <f t="shared" si="50"/>
        <v>0</v>
      </c>
      <c r="L130" s="21">
        <f t="shared" si="50"/>
        <v>0</v>
      </c>
    </row>
    <row r="131" spans="2:12" hidden="1" x14ac:dyDescent="0.2">
      <c r="B131" s="29" t="str">
        <f>B4</f>
        <v/>
      </c>
      <c r="C131" s="22" t="str">
        <f>IF(C$73=4,C4,"")</f>
        <v/>
      </c>
      <c r="D131" s="22" t="str">
        <f t="shared" ref="D131:L131" si="51">IF(D$73=4,D4,"")</f>
        <v/>
      </c>
      <c r="E131" s="22" t="str">
        <f t="shared" si="51"/>
        <v/>
      </c>
      <c r="F131" s="22" t="str">
        <f t="shared" si="51"/>
        <v/>
      </c>
      <c r="G131" s="22" t="str">
        <f t="shared" si="51"/>
        <v/>
      </c>
      <c r="H131" s="22" t="str">
        <f t="shared" si="51"/>
        <v/>
      </c>
      <c r="I131" s="22" t="str">
        <f t="shared" si="51"/>
        <v/>
      </c>
      <c r="J131" s="22" t="str">
        <f t="shared" si="51"/>
        <v/>
      </c>
      <c r="K131" s="22" t="str">
        <f t="shared" si="51"/>
        <v/>
      </c>
      <c r="L131" s="22" t="str">
        <f t="shared" si="51"/>
        <v/>
      </c>
    </row>
    <row r="132" spans="2:12" hidden="1" x14ac:dyDescent="0.2">
      <c r="B132" s="29" t="str">
        <f t="shared" ref="B132:B150" si="52">B5</f>
        <v/>
      </c>
      <c r="C132" s="22" t="str">
        <f t="shared" ref="C132:L132" si="53">IF(C$73=4,C5,"")</f>
        <v/>
      </c>
      <c r="D132" s="22" t="str">
        <f t="shared" si="53"/>
        <v/>
      </c>
      <c r="E132" s="22" t="str">
        <f t="shared" si="53"/>
        <v/>
      </c>
      <c r="F132" s="22" t="str">
        <f t="shared" si="53"/>
        <v/>
      </c>
      <c r="G132" s="22" t="str">
        <f t="shared" si="53"/>
        <v/>
      </c>
      <c r="H132" s="22" t="str">
        <f t="shared" si="53"/>
        <v/>
      </c>
      <c r="I132" s="22" t="str">
        <f t="shared" si="53"/>
        <v/>
      </c>
      <c r="J132" s="22" t="str">
        <f t="shared" si="53"/>
        <v/>
      </c>
      <c r="K132" s="22" t="str">
        <f t="shared" si="53"/>
        <v/>
      </c>
      <c r="L132" s="22" t="str">
        <f t="shared" si="53"/>
        <v/>
      </c>
    </row>
    <row r="133" spans="2:12" hidden="1" x14ac:dyDescent="0.2">
      <c r="B133" s="29" t="str">
        <f t="shared" si="52"/>
        <v/>
      </c>
      <c r="C133" s="22" t="str">
        <f t="shared" ref="C133:L133" si="54">IF(C$73=4,C6,"")</f>
        <v/>
      </c>
      <c r="D133" s="22" t="str">
        <f t="shared" si="54"/>
        <v/>
      </c>
      <c r="E133" s="22" t="str">
        <f t="shared" si="54"/>
        <v/>
      </c>
      <c r="F133" s="22" t="str">
        <f t="shared" si="54"/>
        <v/>
      </c>
      <c r="G133" s="22" t="str">
        <f t="shared" si="54"/>
        <v/>
      </c>
      <c r="H133" s="22" t="str">
        <f t="shared" si="54"/>
        <v/>
      </c>
      <c r="I133" s="22" t="str">
        <f t="shared" si="54"/>
        <v/>
      </c>
      <c r="J133" s="22" t="str">
        <f t="shared" si="54"/>
        <v/>
      </c>
      <c r="K133" s="22" t="str">
        <f t="shared" si="54"/>
        <v/>
      </c>
      <c r="L133" s="22" t="str">
        <f t="shared" si="54"/>
        <v/>
      </c>
    </row>
    <row r="134" spans="2:12" hidden="1" x14ac:dyDescent="0.2">
      <c r="B134" s="29" t="str">
        <f t="shared" si="52"/>
        <v/>
      </c>
      <c r="C134" s="22" t="str">
        <f t="shared" ref="C134:L134" si="55">IF(C$73=4,C7,"")</f>
        <v/>
      </c>
      <c r="D134" s="22" t="str">
        <f t="shared" si="55"/>
        <v/>
      </c>
      <c r="E134" s="22" t="str">
        <f t="shared" si="55"/>
        <v/>
      </c>
      <c r="F134" s="22" t="str">
        <f t="shared" si="55"/>
        <v/>
      </c>
      <c r="G134" s="22" t="str">
        <f t="shared" si="55"/>
        <v/>
      </c>
      <c r="H134" s="22" t="str">
        <f t="shared" si="55"/>
        <v/>
      </c>
      <c r="I134" s="22" t="str">
        <f t="shared" si="55"/>
        <v/>
      </c>
      <c r="J134" s="22" t="str">
        <f t="shared" si="55"/>
        <v/>
      </c>
      <c r="K134" s="22" t="str">
        <f t="shared" si="55"/>
        <v/>
      </c>
      <c r="L134" s="22" t="str">
        <f t="shared" si="55"/>
        <v/>
      </c>
    </row>
    <row r="135" spans="2:12" hidden="1" x14ac:dyDescent="0.2">
      <c r="B135" s="29" t="str">
        <f t="shared" si="52"/>
        <v/>
      </c>
      <c r="C135" s="22" t="str">
        <f t="shared" ref="C135:L135" si="56">IF(C$73=4,C8,"")</f>
        <v/>
      </c>
      <c r="D135" s="22" t="str">
        <f t="shared" si="56"/>
        <v/>
      </c>
      <c r="E135" s="22" t="str">
        <f t="shared" si="56"/>
        <v/>
      </c>
      <c r="F135" s="22" t="str">
        <f t="shared" si="56"/>
        <v/>
      </c>
      <c r="G135" s="22" t="str">
        <f t="shared" si="56"/>
        <v/>
      </c>
      <c r="H135" s="22" t="str">
        <f t="shared" si="56"/>
        <v/>
      </c>
      <c r="I135" s="22" t="str">
        <f t="shared" si="56"/>
        <v/>
      </c>
      <c r="J135" s="22" t="str">
        <f t="shared" si="56"/>
        <v/>
      </c>
      <c r="K135" s="22" t="str">
        <f t="shared" si="56"/>
        <v/>
      </c>
      <c r="L135" s="22" t="str">
        <f t="shared" si="56"/>
        <v/>
      </c>
    </row>
    <row r="136" spans="2:12" hidden="1" x14ac:dyDescent="0.2">
      <c r="B136" s="29" t="str">
        <f t="shared" si="52"/>
        <v/>
      </c>
      <c r="C136" s="22" t="str">
        <f t="shared" ref="C136:L136" si="57">IF(C$73=4,C9,"")</f>
        <v/>
      </c>
      <c r="D136" s="22" t="str">
        <f t="shared" si="57"/>
        <v/>
      </c>
      <c r="E136" s="22" t="str">
        <f t="shared" si="57"/>
        <v/>
      </c>
      <c r="F136" s="22" t="str">
        <f t="shared" si="57"/>
        <v/>
      </c>
      <c r="G136" s="22" t="str">
        <f t="shared" si="57"/>
        <v/>
      </c>
      <c r="H136" s="22" t="str">
        <f t="shared" si="57"/>
        <v/>
      </c>
      <c r="I136" s="22" t="str">
        <f t="shared" si="57"/>
        <v/>
      </c>
      <c r="J136" s="22" t="str">
        <f t="shared" si="57"/>
        <v/>
      </c>
      <c r="K136" s="22" t="str">
        <f t="shared" si="57"/>
        <v/>
      </c>
      <c r="L136" s="22" t="str">
        <f t="shared" si="57"/>
        <v/>
      </c>
    </row>
    <row r="137" spans="2:12" hidden="1" x14ac:dyDescent="0.2">
      <c r="B137" s="29" t="str">
        <f t="shared" si="52"/>
        <v/>
      </c>
      <c r="C137" s="22" t="str">
        <f t="shared" ref="C137:L137" si="58">IF(C$73=4,C10,"")</f>
        <v/>
      </c>
      <c r="D137" s="22" t="str">
        <f t="shared" si="58"/>
        <v/>
      </c>
      <c r="E137" s="22" t="str">
        <f t="shared" si="58"/>
        <v/>
      </c>
      <c r="F137" s="22" t="str">
        <f t="shared" si="58"/>
        <v/>
      </c>
      <c r="G137" s="22" t="str">
        <f t="shared" si="58"/>
        <v/>
      </c>
      <c r="H137" s="22" t="str">
        <f t="shared" si="58"/>
        <v/>
      </c>
      <c r="I137" s="22" t="str">
        <f t="shared" si="58"/>
        <v/>
      </c>
      <c r="J137" s="22" t="str">
        <f t="shared" si="58"/>
        <v/>
      </c>
      <c r="K137" s="22" t="str">
        <f t="shared" si="58"/>
        <v/>
      </c>
      <c r="L137" s="22" t="str">
        <f t="shared" si="58"/>
        <v/>
      </c>
    </row>
    <row r="138" spans="2:12" hidden="1" x14ac:dyDescent="0.2">
      <c r="B138" s="29" t="str">
        <f t="shared" si="52"/>
        <v/>
      </c>
      <c r="C138" s="22" t="str">
        <f t="shared" ref="C138:L138" si="59">IF(C$73=4,C11,"")</f>
        <v/>
      </c>
      <c r="D138" s="22" t="str">
        <f t="shared" si="59"/>
        <v/>
      </c>
      <c r="E138" s="22" t="str">
        <f t="shared" si="59"/>
        <v/>
      </c>
      <c r="F138" s="22" t="str">
        <f t="shared" si="59"/>
        <v/>
      </c>
      <c r="G138" s="22" t="str">
        <f t="shared" si="59"/>
        <v/>
      </c>
      <c r="H138" s="22" t="str">
        <f t="shared" si="59"/>
        <v/>
      </c>
      <c r="I138" s="22" t="str">
        <f t="shared" si="59"/>
        <v/>
      </c>
      <c r="J138" s="22" t="str">
        <f t="shared" si="59"/>
        <v/>
      </c>
      <c r="K138" s="22" t="str">
        <f t="shared" si="59"/>
        <v/>
      </c>
      <c r="L138" s="22" t="str">
        <f t="shared" si="59"/>
        <v/>
      </c>
    </row>
    <row r="139" spans="2:12" hidden="1" x14ac:dyDescent="0.2">
      <c r="B139" s="29" t="str">
        <f t="shared" si="52"/>
        <v/>
      </c>
      <c r="C139" s="22" t="str">
        <f t="shared" ref="C139:L139" si="60">IF(C$73=4,C12,"")</f>
        <v/>
      </c>
      <c r="D139" s="22" t="str">
        <f t="shared" si="60"/>
        <v/>
      </c>
      <c r="E139" s="22" t="str">
        <f t="shared" si="60"/>
        <v/>
      </c>
      <c r="F139" s="22" t="str">
        <f t="shared" si="60"/>
        <v/>
      </c>
      <c r="G139" s="22" t="str">
        <f t="shared" si="60"/>
        <v/>
      </c>
      <c r="H139" s="22" t="str">
        <f t="shared" si="60"/>
        <v/>
      </c>
      <c r="I139" s="22" t="str">
        <f t="shared" si="60"/>
        <v/>
      </c>
      <c r="J139" s="22" t="str">
        <f t="shared" si="60"/>
        <v/>
      </c>
      <c r="K139" s="22" t="str">
        <f t="shared" si="60"/>
        <v/>
      </c>
      <c r="L139" s="22" t="str">
        <f t="shared" si="60"/>
        <v/>
      </c>
    </row>
    <row r="140" spans="2:12" hidden="1" x14ac:dyDescent="0.2">
      <c r="B140" s="29" t="str">
        <f t="shared" si="52"/>
        <v/>
      </c>
      <c r="C140" s="22" t="str">
        <f t="shared" ref="C140:L140" si="61">IF(C$73=4,C13,"")</f>
        <v/>
      </c>
      <c r="D140" s="22" t="str">
        <f t="shared" si="61"/>
        <v/>
      </c>
      <c r="E140" s="22" t="str">
        <f t="shared" si="61"/>
        <v/>
      </c>
      <c r="F140" s="22" t="str">
        <f t="shared" si="61"/>
        <v/>
      </c>
      <c r="G140" s="22" t="str">
        <f t="shared" si="61"/>
        <v/>
      </c>
      <c r="H140" s="22" t="str">
        <f t="shared" si="61"/>
        <v/>
      </c>
      <c r="I140" s="22" t="str">
        <f t="shared" si="61"/>
        <v/>
      </c>
      <c r="J140" s="22" t="str">
        <f t="shared" si="61"/>
        <v/>
      </c>
      <c r="K140" s="22" t="str">
        <f t="shared" si="61"/>
        <v/>
      </c>
      <c r="L140" s="22" t="str">
        <f t="shared" si="61"/>
        <v/>
      </c>
    </row>
    <row r="141" spans="2:12" hidden="1" x14ac:dyDescent="0.2">
      <c r="B141" s="29" t="str">
        <f t="shared" si="52"/>
        <v/>
      </c>
      <c r="C141" s="22" t="str">
        <f t="shared" ref="C141:L141" si="62">IF(C$73=4,C14,"")</f>
        <v/>
      </c>
      <c r="D141" s="22" t="str">
        <f t="shared" si="62"/>
        <v/>
      </c>
      <c r="E141" s="22" t="str">
        <f t="shared" si="62"/>
        <v/>
      </c>
      <c r="F141" s="22" t="str">
        <f t="shared" si="62"/>
        <v/>
      </c>
      <c r="G141" s="22" t="str">
        <f t="shared" si="62"/>
        <v/>
      </c>
      <c r="H141" s="22" t="str">
        <f t="shared" si="62"/>
        <v/>
      </c>
      <c r="I141" s="22" t="str">
        <f t="shared" si="62"/>
        <v/>
      </c>
      <c r="J141" s="22" t="str">
        <f t="shared" si="62"/>
        <v/>
      </c>
      <c r="K141" s="22" t="str">
        <f t="shared" si="62"/>
        <v/>
      </c>
      <c r="L141" s="22" t="str">
        <f t="shared" si="62"/>
        <v/>
      </c>
    </row>
    <row r="142" spans="2:12" hidden="1" x14ac:dyDescent="0.2">
      <c r="B142" s="29" t="str">
        <f t="shared" si="52"/>
        <v/>
      </c>
      <c r="C142" s="22" t="str">
        <f t="shared" ref="C142:L142" si="63">IF(C$73=4,C15,"")</f>
        <v/>
      </c>
      <c r="D142" s="22" t="str">
        <f t="shared" si="63"/>
        <v/>
      </c>
      <c r="E142" s="22" t="str">
        <f t="shared" si="63"/>
        <v/>
      </c>
      <c r="F142" s="22" t="str">
        <f t="shared" si="63"/>
        <v/>
      </c>
      <c r="G142" s="22" t="str">
        <f t="shared" si="63"/>
        <v/>
      </c>
      <c r="H142" s="22" t="str">
        <f t="shared" si="63"/>
        <v/>
      </c>
      <c r="I142" s="22" t="str">
        <f t="shared" si="63"/>
        <v/>
      </c>
      <c r="J142" s="22" t="str">
        <f t="shared" si="63"/>
        <v/>
      </c>
      <c r="K142" s="22" t="str">
        <f t="shared" si="63"/>
        <v/>
      </c>
      <c r="L142" s="22" t="str">
        <f t="shared" si="63"/>
        <v/>
      </c>
    </row>
    <row r="143" spans="2:12" hidden="1" x14ac:dyDescent="0.2">
      <c r="B143" s="29" t="str">
        <f t="shared" si="52"/>
        <v/>
      </c>
      <c r="C143" s="22" t="str">
        <f t="shared" ref="C143:L143" si="64">IF(C$73=4,C16,"")</f>
        <v/>
      </c>
      <c r="D143" s="22" t="str">
        <f t="shared" si="64"/>
        <v/>
      </c>
      <c r="E143" s="22" t="str">
        <f t="shared" si="64"/>
        <v/>
      </c>
      <c r="F143" s="22" t="str">
        <f t="shared" si="64"/>
        <v/>
      </c>
      <c r="G143" s="22" t="str">
        <f t="shared" si="64"/>
        <v/>
      </c>
      <c r="H143" s="22" t="str">
        <f t="shared" si="64"/>
        <v/>
      </c>
      <c r="I143" s="22" t="str">
        <f t="shared" si="64"/>
        <v/>
      </c>
      <c r="J143" s="22" t="str">
        <f t="shared" si="64"/>
        <v/>
      </c>
      <c r="K143" s="22" t="str">
        <f t="shared" si="64"/>
        <v/>
      </c>
      <c r="L143" s="22" t="str">
        <f t="shared" si="64"/>
        <v/>
      </c>
    </row>
    <row r="144" spans="2:12" hidden="1" x14ac:dyDescent="0.2">
      <c r="B144" s="29" t="str">
        <f t="shared" si="52"/>
        <v/>
      </c>
      <c r="C144" s="22" t="str">
        <f t="shared" ref="C144:L144" si="65">IF(C$73=4,C17,"")</f>
        <v/>
      </c>
      <c r="D144" s="22" t="str">
        <f t="shared" si="65"/>
        <v/>
      </c>
      <c r="E144" s="22" t="str">
        <f t="shared" si="65"/>
        <v/>
      </c>
      <c r="F144" s="22" t="str">
        <f t="shared" si="65"/>
        <v/>
      </c>
      <c r="G144" s="22" t="str">
        <f t="shared" si="65"/>
        <v/>
      </c>
      <c r="H144" s="22" t="str">
        <f t="shared" si="65"/>
        <v/>
      </c>
      <c r="I144" s="22" t="str">
        <f t="shared" si="65"/>
        <v/>
      </c>
      <c r="J144" s="22" t="str">
        <f t="shared" si="65"/>
        <v/>
      </c>
      <c r="K144" s="22" t="str">
        <f t="shared" si="65"/>
        <v/>
      </c>
      <c r="L144" s="22" t="str">
        <f t="shared" si="65"/>
        <v/>
      </c>
    </row>
    <row r="145" spans="2:12" hidden="1" x14ac:dyDescent="0.2">
      <c r="B145" s="29" t="str">
        <f t="shared" si="52"/>
        <v/>
      </c>
      <c r="C145" s="22" t="str">
        <f t="shared" ref="C145:L145" si="66">IF(C$73=4,C18,"")</f>
        <v/>
      </c>
      <c r="D145" s="22" t="str">
        <f t="shared" si="66"/>
        <v/>
      </c>
      <c r="E145" s="22" t="str">
        <f t="shared" si="66"/>
        <v/>
      </c>
      <c r="F145" s="22" t="str">
        <f t="shared" si="66"/>
        <v/>
      </c>
      <c r="G145" s="22" t="str">
        <f t="shared" si="66"/>
        <v/>
      </c>
      <c r="H145" s="22" t="str">
        <f t="shared" si="66"/>
        <v/>
      </c>
      <c r="I145" s="22" t="str">
        <f t="shared" si="66"/>
        <v/>
      </c>
      <c r="J145" s="22" t="str">
        <f t="shared" si="66"/>
        <v/>
      </c>
      <c r="K145" s="22" t="str">
        <f t="shared" si="66"/>
        <v/>
      </c>
      <c r="L145" s="22" t="str">
        <f t="shared" si="66"/>
        <v/>
      </c>
    </row>
    <row r="146" spans="2:12" hidden="1" x14ac:dyDescent="0.2">
      <c r="B146" s="29" t="str">
        <f t="shared" si="52"/>
        <v/>
      </c>
      <c r="C146" s="22" t="str">
        <f t="shared" ref="C146:L146" si="67">IF(C$73=4,C19,"")</f>
        <v/>
      </c>
      <c r="D146" s="22" t="str">
        <f t="shared" si="67"/>
        <v/>
      </c>
      <c r="E146" s="22" t="str">
        <f t="shared" si="67"/>
        <v/>
      </c>
      <c r="F146" s="22" t="str">
        <f t="shared" si="67"/>
        <v/>
      </c>
      <c r="G146" s="22" t="str">
        <f t="shared" si="67"/>
        <v/>
      </c>
      <c r="H146" s="22" t="str">
        <f t="shared" si="67"/>
        <v/>
      </c>
      <c r="I146" s="22" t="str">
        <f t="shared" si="67"/>
        <v/>
      </c>
      <c r="J146" s="22" t="str">
        <f t="shared" si="67"/>
        <v/>
      </c>
      <c r="K146" s="22" t="str">
        <f t="shared" si="67"/>
        <v/>
      </c>
      <c r="L146" s="22" t="str">
        <f t="shared" si="67"/>
        <v/>
      </c>
    </row>
    <row r="147" spans="2:12" hidden="1" x14ac:dyDescent="0.2">
      <c r="B147" s="29" t="str">
        <f t="shared" si="52"/>
        <v/>
      </c>
      <c r="C147" s="22" t="str">
        <f t="shared" ref="C147:L147" si="68">IF(C$73=4,C20,"")</f>
        <v/>
      </c>
      <c r="D147" s="22" t="str">
        <f t="shared" si="68"/>
        <v/>
      </c>
      <c r="E147" s="22" t="str">
        <f t="shared" si="68"/>
        <v/>
      </c>
      <c r="F147" s="22" t="str">
        <f t="shared" si="68"/>
        <v/>
      </c>
      <c r="G147" s="22" t="str">
        <f t="shared" si="68"/>
        <v/>
      </c>
      <c r="H147" s="22" t="str">
        <f t="shared" si="68"/>
        <v/>
      </c>
      <c r="I147" s="22" t="str">
        <f t="shared" si="68"/>
        <v/>
      </c>
      <c r="J147" s="22" t="str">
        <f t="shared" si="68"/>
        <v/>
      </c>
      <c r="K147" s="22" t="str">
        <f t="shared" si="68"/>
        <v/>
      </c>
      <c r="L147" s="22" t="str">
        <f t="shared" si="68"/>
        <v/>
      </c>
    </row>
    <row r="148" spans="2:12" hidden="1" x14ac:dyDescent="0.2">
      <c r="B148" s="29" t="str">
        <f t="shared" si="52"/>
        <v/>
      </c>
      <c r="C148" s="22" t="str">
        <f t="shared" ref="C148:L148" si="69">IF(C$73=4,C21,"")</f>
        <v/>
      </c>
      <c r="D148" s="22" t="str">
        <f t="shared" si="69"/>
        <v/>
      </c>
      <c r="E148" s="22" t="str">
        <f t="shared" si="69"/>
        <v/>
      </c>
      <c r="F148" s="22" t="str">
        <f t="shared" si="69"/>
        <v/>
      </c>
      <c r="G148" s="22" t="str">
        <f t="shared" si="69"/>
        <v/>
      </c>
      <c r="H148" s="22" t="str">
        <f t="shared" si="69"/>
        <v/>
      </c>
      <c r="I148" s="22" t="str">
        <f t="shared" si="69"/>
        <v/>
      </c>
      <c r="J148" s="22" t="str">
        <f t="shared" si="69"/>
        <v/>
      </c>
      <c r="K148" s="22" t="str">
        <f t="shared" si="69"/>
        <v/>
      </c>
      <c r="L148" s="22" t="str">
        <f t="shared" si="69"/>
        <v/>
      </c>
    </row>
    <row r="149" spans="2:12" hidden="1" x14ac:dyDescent="0.2">
      <c r="B149" s="29" t="str">
        <f t="shared" si="52"/>
        <v/>
      </c>
      <c r="C149" s="22" t="str">
        <f t="shared" ref="C149:L149" si="70">IF(C$73=4,C22,"")</f>
        <v/>
      </c>
      <c r="D149" s="22" t="str">
        <f t="shared" si="70"/>
        <v/>
      </c>
      <c r="E149" s="22" t="str">
        <f t="shared" si="70"/>
        <v/>
      </c>
      <c r="F149" s="22" t="str">
        <f t="shared" si="70"/>
        <v/>
      </c>
      <c r="G149" s="22" t="str">
        <f t="shared" si="70"/>
        <v/>
      </c>
      <c r="H149" s="22" t="str">
        <f t="shared" si="70"/>
        <v/>
      </c>
      <c r="I149" s="22" t="str">
        <f t="shared" si="70"/>
        <v/>
      </c>
      <c r="J149" s="22" t="str">
        <f t="shared" si="70"/>
        <v/>
      </c>
      <c r="K149" s="22" t="str">
        <f t="shared" si="70"/>
        <v/>
      </c>
      <c r="L149" s="22" t="str">
        <f t="shared" si="70"/>
        <v/>
      </c>
    </row>
    <row r="150" spans="2:12" hidden="1" x14ac:dyDescent="0.2">
      <c r="B150" s="29" t="str">
        <f t="shared" si="52"/>
        <v/>
      </c>
      <c r="C150" s="22" t="str">
        <f t="shared" ref="C150:L150" si="71">IF(C$73=4,C23,"")</f>
        <v/>
      </c>
      <c r="D150" s="22" t="str">
        <f t="shared" si="71"/>
        <v/>
      </c>
      <c r="E150" s="22" t="str">
        <f t="shared" si="71"/>
        <v/>
      </c>
      <c r="F150" s="22" t="str">
        <f t="shared" si="71"/>
        <v/>
      </c>
      <c r="G150" s="22" t="str">
        <f t="shared" si="71"/>
        <v/>
      </c>
      <c r="H150" s="22" t="str">
        <f t="shared" si="71"/>
        <v/>
      </c>
      <c r="I150" s="22" t="str">
        <f t="shared" si="71"/>
        <v/>
      </c>
      <c r="J150" s="22" t="str">
        <f t="shared" si="71"/>
        <v/>
      </c>
      <c r="K150" s="22" t="str">
        <f t="shared" si="71"/>
        <v/>
      </c>
      <c r="L150" s="22" t="str">
        <f t="shared" si="71"/>
        <v/>
      </c>
    </row>
    <row r="151" spans="2:12" hidden="1" x14ac:dyDescent="0.2"/>
    <row r="152" spans="2:12" hidden="1" x14ac:dyDescent="0.2"/>
    <row r="153" spans="2:12" hidden="1" x14ac:dyDescent="0.2"/>
    <row r="154" spans="2:12" hidden="1" x14ac:dyDescent="0.2"/>
    <row r="155" spans="2:12" hidden="1" x14ac:dyDescent="0.2"/>
    <row r="156" spans="2:12" hidden="1" x14ac:dyDescent="0.2"/>
    <row r="157" spans="2:12" hidden="1" x14ac:dyDescent="0.2"/>
    <row r="158" spans="2:12" hidden="1" x14ac:dyDescent="0.2"/>
    <row r="159" spans="2:12" hidden="1" x14ac:dyDescent="0.2"/>
    <row r="160" spans="2:12"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sheetData>
  <sheetProtection password="D040" sheet="1" objects="1" scenarios="1"/>
  <mergeCells count="3">
    <mergeCell ref="C2:L2"/>
    <mergeCell ref="N26:P26"/>
    <mergeCell ref="O35:P37"/>
  </mergeCells>
  <phoneticPr fontId="0" type="noConversion"/>
  <pageMargins left="0.75" right="0.75" top="1" bottom="1" header="0.5" footer="0.5"/>
  <pageSetup scale="74"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0" r:id="rId4" name="Drop Down 82">
              <controlPr defaultSize="0" autoLine="0" autoPict="0">
                <anchor moveWithCells="1">
                  <from>
                    <xdr:col>2</xdr:col>
                    <xdr:colOff>9525</xdr:colOff>
                    <xdr:row>37</xdr:row>
                    <xdr:rowOff>19050</xdr:rowOff>
                  </from>
                  <to>
                    <xdr:col>3</xdr:col>
                    <xdr:colOff>28575</xdr:colOff>
                    <xdr:row>38</xdr:row>
                    <xdr:rowOff>85725</xdr:rowOff>
                  </to>
                </anchor>
              </controlPr>
            </control>
          </mc:Choice>
        </mc:AlternateContent>
        <mc:AlternateContent xmlns:mc="http://schemas.openxmlformats.org/markup-compatibility/2006">
          <mc:Choice Requires="x14">
            <control shapeId="2131" r:id="rId5" name="Drop Down 83">
              <controlPr defaultSize="0" autoLine="0" autoPict="0">
                <anchor moveWithCells="1">
                  <from>
                    <xdr:col>3</xdr:col>
                    <xdr:colOff>19050</xdr:colOff>
                    <xdr:row>37</xdr:row>
                    <xdr:rowOff>19050</xdr:rowOff>
                  </from>
                  <to>
                    <xdr:col>4</xdr:col>
                    <xdr:colOff>19050</xdr:colOff>
                    <xdr:row>38</xdr:row>
                    <xdr:rowOff>85725</xdr:rowOff>
                  </to>
                </anchor>
              </controlPr>
            </control>
          </mc:Choice>
        </mc:AlternateContent>
        <mc:AlternateContent xmlns:mc="http://schemas.openxmlformats.org/markup-compatibility/2006">
          <mc:Choice Requires="x14">
            <control shapeId="2" r:id="rId6" name="Drop Down 84">
              <controlPr defaultSize="0" autoLine="0" autoPict="0">
                <anchor moveWithCells="1">
                  <from>
                    <xdr:col>4</xdr:col>
                    <xdr:colOff>0</xdr:colOff>
                    <xdr:row>37</xdr:row>
                    <xdr:rowOff>19050</xdr:rowOff>
                  </from>
                  <to>
                    <xdr:col>5</xdr:col>
                    <xdr:colOff>19050</xdr:colOff>
                    <xdr:row>38</xdr:row>
                    <xdr:rowOff>85725</xdr:rowOff>
                  </to>
                </anchor>
              </controlPr>
            </control>
          </mc:Choice>
        </mc:AlternateContent>
        <mc:AlternateContent xmlns:mc="http://schemas.openxmlformats.org/markup-compatibility/2006">
          <mc:Choice Requires="x14">
            <control shapeId="2133" r:id="rId7" name="Drop Down 85">
              <controlPr defaultSize="0" autoLine="0" autoPict="0">
                <anchor moveWithCells="1">
                  <from>
                    <xdr:col>5</xdr:col>
                    <xdr:colOff>0</xdr:colOff>
                    <xdr:row>37</xdr:row>
                    <xdr:rowOff>19050</xdr:rowOff>
                  </from>
                  <to>
                    <xdr:col>6</xdr:col>
                    <xdr:colOff>9525</xdr:colOff>
                    <xdr:row>38</xdr:row>
                    <xdr:rowOff>85725</xdr:rowOff>
                  </to>
                </anchor>
              </controlPr>
            </control>
          </mc:Choice>
        </mc:AlternateContent>
        <mc:AlternateContent xmlns:mc="http://schemas.openxmlformats.org/markup-compatibility/2006">
          <mc:Choice Requires="x14">
            <control shapeId="2134" r:id="rId8" name="Drop Down 86">
              <controlPr defaultSize="0" autoLine="0" autoPict="0">
                <anchor moveWithCells="1">
                  <from>
                    <xdr:col>5</xdr:col>
                    <xdr:colOff>628650</xdr:colOff>
                    <xdr:row>37</xdr:row>
                    <xdr:rowOff>19050</xdr:rowOff>
                  </from>
                  <to>
                    <xdr:col>7</xdr:col>
                    <xdr:colOff>9525</xdr:colOff>
                    <xdr:row>38</xdr:row>
                    <xdr:rowOff>85725</xdr:rowOff>
                  </to>
                </anchor>
              </controlPr>
            </control>
          </mc:Choice>
        </mc:AlternateContent>
        <mc:AlternateContent xmlns:mc="http://schemas.openxmlformats.org/markup-compatibility/2006">
          <mc:Choice Requires="x14">
            <control shapeId="2135" r:id="rId9" name="Drop Down 87">
              <controlPr defaultSize="0" autoLine="0" autoPict="0">
                <anchor moveWithCells="1">
                  <from>
                    <xdr:col>7</xdr:col>
                    <xdr:colOff>0</xdr:colOff>
                    <xdr:row>37</xdr:row>
                    <xdr:rowOff>19050</xdr:rowOff>
                  </from>
                  <to>
                    <xdr:col>8</xdr:col>
                    <xdr:colOff>9525</xdr:colOff>
                    <xdr:row>38</xdr:row>
                    <xdr:rowOff>85725</xdr:rowOff>
                  </to>
                </anchor>
              </controlPr>
            </control>
          </mc:Choice>
        </mc:AlternateContent>
        <mc:AlternateContent xmlns:mc="http://schemas.openxmlformats.org/markup-compatibility/2006">
          <mc:Choice Requires="x14">
            <control shapeId="2136" r:id="rId10" name="Drop Down 88">
              <controlPr defaultSize="0" autoLine="0" autoPict="0">
                <anchor moveWithCells="1">
                  <from>
                    <xdr:col>7</xdr:col>
                    <xdr:colOff>628650</xdr:colOff>
                    <xdr:row>37</xdr:row>
                    <xdr:rowOff>19050</xdr:rowOff>
                  </from>
                  <to>
                    <xdr:col>9</xdr:col>
                    <xdr:colOff>0</xdr:colOff>
                    <xdr:row>38</xdr:row>
                    <xdr:rowOff>85725</xdr:rowOff>
                  </to>
                </anchor>
              </controlPr>
            </control>
          </mc:Choice>
        </mc:AlternateContent>
        <mc:AlternateContent xmlns:mc="http://schemas.openxmlformats.org/markup-compatibility/2006">
          <mc:Choice Requires="x14">
            <control shapeId="2137" r:id="rId11" name="Drop Down 89">
              <controlPr defaultSize="0" autoLine="0" autoPict="0">
                <anchor moveWithCells="1">
                  <from>
                    <xdr:col>8</xdr:col>
                    <xdr:colOff>619125</xdr:colOff>
                    <xdr:row>37</xdr:row>
                    <xdr:rowOff>19050</xdr:rowOff>
                  </from>
                  <to>
                    <xdr:col>9</xdr:col>
                    <xdr:colOff>628650</xdr:colOff>
                    <xdr:row>38</xdr:row>
                    <xdr:rowOff>85725</xdr:rowOff>
                  </to>
                </anchor>
              </controlPr>
            </control>
          </mc:Choice>
        </mc:AlternateContent>
        <mc:AlternateContent xmlns:mc="http://schemas.openxmlformats.org/markup-compatibility/2006">
          <mc:Choice Requires="x14">
            <control shapeId="2138" r:id="rId12" name="Drop Down 90">
              <controlPr defaultSize="0" autoLine="0" autoPict="0">
                <anchor moveWithCells="1">
                  <from>
                    <xdr:col>9</xdr:col>
                    <xdr:colOff>619125</xdr:colOff>
                    <xdr:row>37</xdr:row>
                    <xdr:rowOff>19050</xdr:rowOff>
                  </from>
                  <to>
                    <xdr:col>10</xdr:col>
                    <xdr:colOff>628650</xdr:colOff>
                    <xdr:row>38</xdr:row>
                    <xdr:rowOff>85725</xdr:rowOff>
                  </to>
                </anchor>
              </controlPr>
            </control>
          </mc:Choice>
        </mc:AlternateContent>
        <mc:AlternateContent xmlns:mc="http://schemas.openxmlformats.org/markup-compatibility/2006">
          <mc:Choice Requires="x14">
            <control shapeId="2139" r:id="rId13" name="Drop Down 91">
              <controlPr defaultSize="0" autoLine="0" autoPict="0">
                <anchor moveWithCells="1">
                  <from>
                    <xdr:col>10</xdr:col>
                    <xdr:colOff>609600</xdr:colOff>
                    <xdr:row>37</xdr:row>
                    <xdr:rowOff>19050</xdr:rowOff>
                  </from>
                  <to>
                    <xdr:col>11</xdr:col>
                    <xdr:colOff>619125</xdr:colOff>
                    <xdr:row>38</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3:V38"/>
  <sheetViews>
    <sheetView showGridLines="0" topLeftCell="A2" zoomScale="71" zoomScaleNormal="80" workbookViewId="0">
      <selection activeCell="M6" sqref="M6"/>
    </sheetView>
  </sheetViews>
  <sheetFormatPr defaultRowHeight="12.75" x14ac:dyDescent="0.2"/>
  <cols>
    <col min="1" max="1" width="18.5703125" style="17" bestFit="1" customWidth="1"/>
    <col min="2" max="2" width="11" style="17" customWidth="1"/>
    <col min="3" max="3" width="4.42578125" style="17" customWidth="1"/>
    <col min="4" max="4" width="9.7109375" style="17" customWidth="1"/>
    <col min="5" max="5" width="8.7109375" style="17" customWidth="1"/>
    <col min="6" max="6" width="8" style="17" customWidth="1"/>
    <col min="7" max="7" width="4.42578125" style="17" bestFit="1" customWidth="1"/>
    <col min="8" max="18" width="14.7109375" style="17" customWidth="1"/>
    <col min="19" max="19" width="15" style="17" customWidth="1"/>
    <col min="20" max="16384" width="9.140625" style="17"/>
  </cols>
  <sheetData>
    <row r="3" spans="1:21" ht="18" x14ac:dyDescent="0.2">
      <c r="A3" s="307" t="str">
        <f>""&amp;'Inventory Calculator'!I4&amp;" Feed Cost Summary"</f>
        <v xml:space="preserve"> Feed Cost Summary</v>
      </c>
      <c r="B3" s="307"/>
      <c r="C3" s="307"/>
      <c r="D3" s="307"/>
      <c r="E3" s="307"/>
      <c r="F3" s="307"/>
      <c r="G3" s="307"/>
      <c r="H3" s="307"/>
      <c r="I3" s="307"/>
      <c r="J3" s="307"/>
      <c r="K3" s="307"/>
      <c r="L3" s="307"/>
      <c r="M3" s="307"/>
      <c r="N3" s="307"/>
      <c r="O3" s="307"/>
      <c r="P3" s="307"/>
      <c r="Q3" s="307"/>
      <c r="R3" s="109"/>
      <c r="S3" s="109"/>
      <c r="T3" s="109"/>
      <c r="U3" s="109"/>
    </row>
    <row r="5" spans="1:21" s="28" customFormat="1" ht="51.75" customHeight="1" thickBot="1" x14ac:dyDescent="0.25">
      <c r="A5" s="26" t="s">
        <v>0</v>
      </c>
      <c r="B5" s="305" t="s">
        <v>81</v>
      </c>
      <c r="C5" s="305"/>
      <c r="D5" s="27" t="s">
        <v>20</v>
      </c>
      <c r="E5" s="27" t="s">
        <v>24</v>
      </c>
      <c r="F5" s="313" t="s">
        <v>82</v>
      </c>
      <c r="G5" s="313"/>
      <c r="H5" s="27" t="s">
        <v>13</v>
      </c>
      <c r="I5" s="27" t="s">
        <v>17</v>
      </c>
      <c r="J5" s="27" t="s">
        <v>18</v>
      </c>
      <c r="K5" s="27" t="s">
        <v>19</v>
      </c>
      <c r="L5" s="200" t="s">
        <v>33</v>
      </c>
      <c r="M5" s="27" t="s">
        <v>29</v>
      </c>
      <c r="N5" s="27" t="s">
        <v>25</v>
      </c>
      <c r="O5" s="214" t="s">
        <v>212</v>
      </c>
      <c r="P5" s="214" t="s">
        <v>213</v>
      </c>
      <c r="Q5" s="27" t="s">
        <v>32</v>
      </c>
    </row>
    <row r="6" spans="1:21" x14ac:dyDescent="0.2">
      <c r="A6" s="29" t="str">
        <f>IF(Feeds!A3&gt;0,Feeds!A3,"")</f>
        <v/>
      </c>
      <c r="B6" s="33" t="str">
        <f>IF(SUM('Current Rations'!C4:L4)&gt;0,(SUMPRODUCT(('Current Rations'!C4:L4/Feeds!E3),'Current Rations'!C$27:L$27,'Current Rations'!C$28:L$28)/Feeds!C3),"")</f>
        <v/>
      </c>
      <c r="C6" s="30" t="str">
        <f>IF(SUM('Current Rations'!C4:L4)&gt;0,Feeds!B3,"")</f>
        <v/>
      </c>
      <c r="D6" s="31" t="str">
        <f>IF(SUM('Current Rations'!C4:L4)&gt;0,(B6/(1-Feeds!F3))-B6,"")</f>
        <v/>
      </c>
      <c r="E6" s="32" t="str">
        <f>IF(SUM('Current Rations'!C4:L4)&gt;0,D6*Feeds!D3,"")</f>
        <v/>
      </c>
      <c r="F6" s="33" t="str">
        <f>IF(SUM('Current Rations'!C4:L4)&gt;0,(SUM(D6,B6)),"")</f>
        <v/>
      </c>
      <c r="G6" s="30" t="str">
        <f>IF(SUM('Current Rations'!C4:L4)&gt;0,Feeds!B3,"")</f>
        <v/>
      </c>
      <c r="H6" s="32" t="str">
        <f>IF(SUM('Current Rations'!C4:L4)&gt;0,F6*Feeds!D3,"")</f>
        <v/>
      </c>
      <c r="I6" s="32" t="str">
        <f>IF(SUM('Current Rations'!C4:L4)&gt;0,IF(Feeds!K3=TRUE,H6,""),"")</f>
        <v/>
      </c>
      <c r="J6" s="32" t="str">
        <f>IF(SUM('Current Rations'!C4:L4)&gt;0,IF(Feeds!K3=FALSE,H6,""),"")</f>
        <v/>
      </c>
      <c r="K6" s="32" t="str">
        <f>IF(SUM('Current Rations'!C4:L4)&gt;0,IF(Feeds!J3=TRUE,H6,""),"")</f>
        <v/>
      </c>
      <c r="L6" s="32" t="str">
        <f>IF(SUM('Current Rations'!C4:L4)&gt;0,IF(Feeds!J3=TRUE,(IF(Feeds!K3=FALSE,H6,"")),""),"")</f>
        <v/>
      </c>
      <c r="M6" s="32" t="str">
        <f>IF(SUM('Current Rations'!C4:L4)&gt;0,IF(Feeds!J3=TRUE,(IF(Feeds!K3=TRUE,H6,"")),""),"")</f>
        <v/>
      </c>
      <c r="N6" s="32" t="str">
        <f>IF(SUM('Current Rations'!D4:O4)&gt;0,IF(Feeds!J3=FALSE,H6,""),"")</f>
        <v/>
      </c>
      <c r="O6" s="216" t="str">
        <f>IF(SUM('Current Rations'!C81:L81)&gt;0,((SUMPRODUCT('Current Rations'!C81:L81,'Current Rations'!C$27:L$27)/(SUMPRODUCT('Current Rations'!C81:L81,'Current Rations'!C$27:L$27)+SUMPRODUCT('Current Rations'!C106:L106,'Current Rations'!C$27:L$27)+SUMPRODUCT('Current Rations'!C131:L131,'Current Rations'!C$27:L$27))*H6)),"")</f>
        <v/>
      </c>
      <c r="P6" s="32" t="str">
        <f>IF(SUM('Current Rations'!C106:L106)&gt;0,((SUMPRODUCT('Current Rations'!C106:L106,'Current Rations'!C$27:L$27)/(SUMPRODUCT('Current Rations'!C81:L81,'Current Rations'!C$27:L$27)+SUMPRODUCT('Current Rations'!C106:L106,'Current Rations'!C$27:L$27)+SUMPRODUCT('Current Rations'!C131:L131,'Current Rations'!C$27:L$27))*H6)),"")</f>
        <v/>
      </c>
      <c r="Q6" s="32" t="str">
        <f>IF(SUM('Current Rations'!C131:L131)&gt;0,((SUMPRODUCT('Current Rations'!C131:L131,'Current Rations'!C$27:L$27)/(SUMPRODUCT('Current Rations'!C81:L81,'Current Rations'!C$27:L$27)+SUMPRODUCT('Current Rations'!C106:L106,'Current Rations'!C$27:L$27)+SUMPRODUCT('Current Rations'!C131:L131,'Current Rations'!C$27:L$27))*H6)),"")</f>
        <v/>
      </c>
    </row>
    <row r="7" spans="1:21" x14ac:dyDescent="0.2">
      <c r="A7" s="29" t="str">
        <f>IF(Feeds!A4&gt;0,Feeds!A4,"")</f>
        <v/>
      </c>
      <c r="B7" s="37" t="str">
        <f>IF(SUM('Current Rations'!C5:L5)&gt;0,(SUMPRODUCT(('Current Rations'!C5:L5/Feeds!E4),'Current Rations'!C$27:L$27,'Current Rations'!C$28:L$28)/Feeds!C4),"")</f>
        <v/>
      </c>
      <c r="C7" s="34" t="str">
        <f>IF(SUM('Current Rations'!C5:L5)&gt;0,Feeds!B4,"")</f>
        <v/>
      </c>
      <c r="D7" s="35" t="str">
        <f>IF(SUM('Current Rations'!C5:L5)&gt;0,(B7/(1-Feeds!F4))-'Current Rations Cost Summary'!B7,"")</f>
        <v/>
      </c>
      <c r="E7" s="36" t="str">
        <f>IF(SUM('Current Rations'!C5:L5)&gt;0,D7*Feeds!D4,"")</f>
        <v/>
      </c>
      <c r="F7" s="37" t="str">
        <f>IF(SUM('Current Rations'!C5:L5)&gt;0,(SUM(D7,B7)),"")</f>
        <v/>
      </c>
      <c r="G7" s="38" t="str">
        <f>IF(SUM('Current Rations'!C5:L5)&gt;0,Feeds!B4,"")</f>
        <v/>
      </c>
      <c r="H7" s="36" t="str">
        <f>IF(SUM('Current Rations'!C5:L5)&gt;0,F7*Feeds!D4,"")</f>
        <v/>
      </c>
      <c r="I7" s="36" t="str">
        <f>IF(SUM('Current Rations'!C5:L5)&gt;0,IF(Feeds!K4=TRUE,H7,""),"")</f>
        <v/>
      </c>
      <c r="J7" s="36" t="str">
        <f>IF(SUM('Current Rations'!C5:L5)&gt;0,IF(Feeds!K4=FALSE,H7,""),"")</f>
        <v/>
      </c>
      <c r="K7" s="36" t="str">
        <f>IF(SUM('Current Rations'!C5:L5)&gt;0,IF(Feeds!J4=TRUE,H7,""),"")</f>
        <v/>
      </c>
      <c r="L7" s="36" t="str">
        <f>IF(SUM('Current Rations'!C5:L5)&gt;0,IF(Feeds!J4=TRUE,(IF(Feeds!K4=FALSE,H7,"")),""),"")</f>
        <v/>
      </c>
      <c r="M7" s="36" t="str">
        <f>IF(SUM('Current Rations'!C5:L5)&gt;0,IF(Feeds!J4=TRUE,(IF(Feeds!K4=TRUE,H7,"")),""),"")</f>
        <v/>
      </c>
      <c r="N7" s="36" t="str">
        <f>IF(SUM('Current Rations'!D5:O5)&gt;0,IF(Feeds!J4=FALSE,H7,""),"")</f>
        <v/>
      </c>
      <c r="O7" s="217" t="str">
        <f>IF(SUM('Current Rations'!C82:L82)&gt;0,((SUMPRODUCT('Current Rations'!C82:L82,'Current Rations'!C$27:L$27)/(SUMPRODUCT('Current Rations'!C82:L82,'Current Rations'!C$27:L$27)+SUMPRODUCT('Current Rations'!C107:L107,'Current Rations'!C$27:L$27)+SUMPRODUCT('Current Rations'!C132:L132,'Current Rations'!C$27:L$27))*H7)),"")</f>
        <v/>
      </c>
      <c r="P7" s="219" t="str">
        <f>IF(SUM('Current Rations'!C107:L107)&gt;0,((SUMPRODUCT('Current Rations'!C107:L107,'Current Rations'!C$27:L$27)/(SUMPRODUCT('Current Rations'!C82:L82,'Current Rations'!C$27:L$27)+SUMPRODUCT('Current Rations'!C107:L107,'Current Rations'!C$27:L$27)+SUMPRODUCT('Current Rations'!C132:L132,'Current Rations'!C$27:L$27))*H7)),"")</f>
        <v/>
      </c>
      <c r="Q7" s="36" t="str">
        <f>IF(SUM('Current Rations'!C132:L132)&gt;0,((SUMPRODUCT('Current Rations'!C132:L132,'Current Rations'!C$27:L$27)/(SUMPRODUCT('Current Rations'!C82:L82,'Current Rations'!C$27:L$27)+SUMPRODUCT('Current Rations'!C107:L107,'Current Rations'!C$27:L$27)+SUMPRODUCT('Current Rations'!C132:L132,'Current Rations'!C$27:L$27))*H7)),"")</f>
        <v/>
      </c>
    </row>
    <row r="8" spans="1:21" x14ac:dyDescent="0.2">
      <c r="A8" s="29" t="str">
        <f>IF(Feeds!A5&gt;0,Feeds!A5,"")</f>
        <v/>
      </c>
      <c r="B8" s="37" t="str">
        <f>IF(SUM('Current Rations'!C6:L6)&gt;0,(SUMPRODUCT(('Current Rations'!C6:L6/Feeds!E5),'Current Rations'!C$27:L$27,'Current Rations'!C$28:L$28)/Feeds!C5),"")</f>
        <v/>
      </c>
      <c r="C8" s="34" t="str">
        <f>IF(SUM('Current Rations'!C6:L6)&gt;0,Feeds!B5,"")</f>
        <v/>
      </c>
      <c r="D8" s="35" t="str">
        <f>IF(SUM('Current Rations'!C6:L6)&gt;0,(B8/(1-Feeds!F5))-'Current Rations Cost Summary'!B8,"")</f>
        <v/>
      </c>
      <c r="E8" s="36" t="str">
        <f>IF(SUM('Current Rations'!C6:L6)&gt;0,D8*Feeds!D5,"")</f>
        <v/>
      </c>
      <c r="F8" s="37" t="str">
        <f>IF(SUM('Current Rations'!C6:L6)&gt;0,(SUM(D8,B8)),"")</f>
        <v/>
      </c>
      <c r="G8" s="38" t="str">
        <f>IF(SUM('Current Rations'!C6:L6)&gt;0,Feeds!B5,"")</f>
        <v/>
      </c>
      <c r="H8" s="36" t="str">
        <f>IF(SUM('Current Rations'!C6:L6)&gt;0,F8*Feeds!D5,"")</f>
        <v/>
      </c>
      <c r="I8" s="36" t="str">
        <f>IF(SUM('Current Rations'!C6:L6)&gt;0,IF(Feeds!K5=TRUE,H8,""),"")</f>
        <v/>
      </c>
      <c r="J8" s="36" t="str">
        <f>IF(SUM('Current Rations'!C6:L6)&gt;0,IF(Feeds!K5=FALSE,H8,""),"")</f>
        <v/>
      </c>
      <c r="K8" s="36" t="str">
        <f>IF(SUM('Current Rations'!C6:L6)&gt;0,IF(Feeds!J5=TRUE,H8,""),"")</f>
        <v/>
      </c>
      <c r="L8" s="36" t="str">
        <f>IF(SUM('Current Rations'!C6:L6)&gt;0,IF(Feeds!J5=TRUE,(IF(Feeds!K5=FALSE,H8,"")),""),"")</f>
        <v/>
      </c>
      <c r="M8" s="36" t="str">
        <f>IF(SUM('Current Rations'!C6:L6)&gt;0,IF(Feeds!J5=TRUE,(IF(Feeds!K5=TRUE,H8,"")),""),"")</f>
        <v/>
      </c>
      <c r="N8" s="36" t="str">
        <f>IF(SUM('Current Rations'!D6:O6)&gt;0,IF(Feeds!J5=FALSE,H8,""),"")</f>
        <v/>
      </c>
      <c r="O8" s="217" t="str">
        <f>IF(SUM('Current Rations'!C83:L83)&gt;0,((SUMPRODUCT('Current Rations'!C83:L83,'Current Rations'!C$27:L$27)/(SUMPRODUCT('Current Rations'!C83:L83,'Current Rations'!C$27:L$27)+SUMPRODUCT('Current Rations'!C108:L108,'Current Rations'!C$27:L$27)+SUMPRODUCT('Current Rations'!C133:L133,'Current Rations'!C$27:L$27))*H8)),"")</f>
        <v/>
      </c>
      <c r="P8" s="36" t="str">
        <f>IF(SUM('Current Rations'!C108:L108)&gt;0,((SUMPRODUCT('Current Rations'!C108:L108,'Current Rations'!C$27:L$27)/(SUMPRODUCT('Current Rations'!C83:L83,'Current Rations'!C$27:L$27)+SUMPRODUCT('Current Rations'!C108:L108,'Current Rations'!C$27:L$27)+SUMPRODUCT('Current Rations'!C133:L133,'Current Rations'!C$27:L$27))*H8)),"")</f>
        <v/>
      </c>
      <c r="Q8" s="36" t="str">
        <f>IF(SUM('Current Rations'!C133:L133)&gt;0,((SUMPRODUCT('Current Rations'!C133:L133,'Current Rations'!C$27:L$27)/(SUMPRODUCT('Current Rations'!C83:L83,'Current Rations'!C$27:L$27)+SUMPRODUCT('Current Rations'!C108:L108,'Current Rations'!C$27:L$27)+SUMPRODUCT('Current Rations'!C133:L133,'Current Rations'!C$27:L$27))*H8)),"")</f>
        <v/>
      </c>
    </row>
    <row r="9" spans="1:21" x14ac:dyDescent="0.2">
      <c r="A9" s="29" t="str">
        <f>IF(Feeds!A6&gt;0,Feeds!A6,"")</f>
        <v/>
      </c>
      <c r="B9" s="37" t="str">
        <f>IF(SUM('Current Rations'!C7:L7)&gt;0,(SUMPRODUCT(('Current Rations'!C7:L7/Feeds!E6),'Current Rations'!C$27:L$27,'Current Rations'!C$28:L$28)/Feeds!C6),"")</f>
        <v/>
      </c>
      <c r="C9" s="34" t="str">
        <f>IF(SUM('Current Rations'!C7:L7)&gt;0,Feeds!B6,"")</f>
        <v/>
      </c>
      <c r="D9" s="35" t="str">
        <f>IF(SUM('Current Rations'!C7:L7)&gt;0,(B9/(1-Feeds!F6))-'Current Rations Cost Summary'!B9,"")</f>
        <v/>
      </c>
      <c r="E9" s="36" t="str">
        <f>IF(SUM('Current Rations'!C7:L7)&gt;0,D9*Feeds!D6,"")</f>
        <v/>
      </c>
      <c r="F9" s="37" t="str">
        <f>IF(SUM('Current Rations'!C7:L7)&gt;0,(SUM(D9,B9)),"")</f>
        <v/>
      </c>
      <c r="G9" s="38" t="str">
        <f>IF(SUM('Current Rations'!C7:L7)&gt;0,Feeds!B6,"")</f>
        <v/>
      </c>
      <c r="H9" s="36" t="str">
        <f>IF(SUM('Current Rations'!C7:L7)&gt;0,F9*Feeds!D6,"")</f>
        <v/>
      </c>
      <c r="I9" s="36" t="str">
        <f>IF(SUM('Current Rations'!C7:L7)&gt;0,IF(Feeds!K6=TRUE,H9,""),"")</f>
        <v/>
      </c>
      <c r="J9" s="36" t="str">
        <f>IF(SUM('Current Rations'!C7:L7)&gt;0,IF(Feeds!K6=FALSE,H9,""),"")</f>
        <v/>
      </c>
      <c r="K9" s="36" t="str">
        <f>IF(SUM('Current Rations'!C7:L7)&gt;0,IF(Feeds!J6=TRUE,H9,""),"")</f>
        <v/>
      </c>
      <c r="L9" s="36" t="str">
        <f>IF(SUM('Current Rations'!C7:L7)&gt;0,IF(Feeds!J6=TRUE,(IF(Feeds!K6=FALSE,H9,"")),""),"")</f>
        <v/>
      </c>
      <c r="M9" s="36" t="str">
        <f>IF(SUM('Current Rations'!C7:L7)&gt;0,IF(Feeds!J6=TRUE,(IF(Feeds!K6=TRUE,H9,"")),""),"")</f>
        <v/>
      </c>
      <c r="N9" s="36" t="str">
        <f>IF(SUM('Current Rations'!D7:O7)&gt;0,IF(Feeds!J6=FALSE,H9,""),"")</f>
        <v/>
      </c>
      <c r="O9" s="217" t="str">
        <f>IF(SUM('Current Rations'!C84:L84)&gt;0,((SUMPRODUCT('Current Rations'!C84:L84,'Current Rations'!C$27:L$27)/(SUMPRODUCT('Current Rations'!C84:L84,'Current Rations'!C$27:L$27)+SUMPRODUCT('Current Rations'!C109:L109,'Current Rations'!C$27:L$27)+SUMPRODUCT('Current Rations'!C134:L134,'Current Rations'!C$27:L$27))*H9)),"")</f>
        <v/>
      </c>
      <c r="P9" s="219" t="str">
        <f>IF(SUM('Current Rations'!C109:L109)&gt;0,((SUMPRODUCT('Current Rations'!C109:L109,'Current Rations'!C$27:L$27)/(SUMPRODUCT('Current Rations'!C84:L84,'Current Rations'!C$27:L$27)+SUMPRODUCT('Current Rations'!C109:L109,'Current Rations'!C$27:L$27)+SUMPRODUCT('Current Rations'!C134:L134,'Current Rations'!C$27:L$27))*H9)),"")</f>
        <v/>
      </c>
      <c r="Q9" s="219" t="str">
        <f>IF(SUM('Current Rations'!C134:L134)&gt;0,((SUMPRODUCT('Current Rations'!C134:L134,'Current Rations'!C$27:L$27)/(SUMPRODUCT('Current Rations'!C84:L84,'Current Rations'!C$27:L$27)+SUMPRODUCT('Current Rations'!C109:L109,'Current Rations'!C$27:L$27)+SUMPRODUCT('Current Rations'!C134:L134,'Current Rations'!C$27:L$27))*H9)),"")</f>
        <v/>
      </c>
    </row>
    <row r="10" spans="1:21" x14ac:dyDescent="0.2">
      <c r="A10" s="29" t="str">
        <f>IF(Feeds!A7&gt;0,Feeds!A7,"")</f>
        <v/>
      </c>
      <c r="B10" s="37" t="str">
        <f>IF(SUM('Current Rations'!C8:L8)&gt;0,(SUMPRODUCT(('Current Rations'!C8:L8/Feeds!E7),'Current Rations'!C$27:L$27,'Current Rations'!C$28:L$28)/Feeds!C7),"")</f>
        <v/>
      </c>
      <c r="C10" s="34" t="str">
        <f>IF(SUM('Current Rations'!C8:L8)&gt;0,Feeds!B7,"")</f>
        <v/>
      </c>
      <c r="D10" s="35" t="str">
        <f>IF(SUM('Current Rations'!C8:L8)&gt;0,(B10/(1-Feeds!F7))-'Current Rations Cost Summary'!B10,"")</f>
        <v/>
      </c>
      <c r="E10" s="36" t="str">
        <f>IF(SUM('Current Rations'!C8:L8)&gt;0,D10*Feeds!D7,"")</f>
        <v/>
      </c>
      <c r="F10" s="37" t="str">
        <f>IF(SUM('Current Rations'!C8:L8)&gt;0,(SUM(D10,B10)),"")</f>
        <v/>
      </c>
      <c r="G10" s="38" t="str">
        <f>IF(SUM('Current Rations'!C8:L8)&gt;0,Feeds!B7,"")</f>
        <v/>
      </c>
      <c r="H10" s="36" t="str">
        <f>IF(SUM('Current Rations'!C8:L8)&gt;0,F10*Feeds!D7,"")</f>
        <v/>
      </c>
      <c r="I10" s="36" t="str">
        <f>IF(SUM('Current Rations'!C8:L8)&gt;0,IF(Feeds!K7=TRUE,H10,""),"")</f>
        <v/>
      </c>
      <c r="J10" s="36" t="str">
        <f>IF(SUM('Current Rations'!C8:L8)&gt;0,IF(Feeds!K7=FALSE,H10,""),"")</f>
        <v/>
      </c>
      <c r="K10" s="36" t="str">
        <f>IF(SUM('Current Rations'!C8:L8)&gt;0,IF(Feeds!J7=TRUE,H10,""),"")</f>
        <v/>
      </c>
      <c r="L10" s="36" t="str">
        <f>IF(SUM('Current Rations'!C8:L8)&gt;0,IF(Feeds!J7=TRUE,(IF(Feeds!K7=FALSE,H10,"")),""),"")</f>
        <v/>
      </c>
      <c r="M10" s="36" t="str">
        <f>IF(SUM('Current Rations'!C8:L8)&gt;0,IF(Feeds!J7=TRUE,(IF(Feeds!K7=TRUE,H10,"")),""),"")</f>
        <v/>
      </c>
      <c r="N10" s="36" t="str">
        <f>IF(SUM('Current Rations'!D8:O8)&gt;0,IF(Feeds!J7=FALSE,H10,""),"")</f>
        <v/>
      </c>
      <c r="O10" s="36" t="str">
        <f>IF(SUM('Current Rations'!C85:L85)&gt;0,((SUMPRODUCT('Current Rations'!C85:L85,'Current Rations'!C$27:L$27)/(SUMPRODUCT('Current Rations'!C85:L85,'Current Rations'!C$27:L$27)+SUMPRODUCT('Current Rations'!C110:L110,'Current Rations'!C$27:L$27)+SUMPRODUCT('Current Rations'!C135:L135,'Current Rations'!C$27:L$27))*H10)),"")</f>
        <v/>
      </c>
      <c r="P10" s="36" t="str">
        <f>IF(SUM('Current Rations'!C110:L110)&gt;0,((SUMPRODUCT('Current Rations'!C110:L110,'Current Rations'!C$27:L$27)/(SUMPRODUCT('Current Rations'!C85:L85,'Current Rations'!C$27:L$27)+SUMPRODUCT('Current Rations'!C110:L110,'Current Rations'!C$27:L$27)+SUMPRODUCT('Current Rations'!C135:L135,'Current Rations'!C$27:L$27))*H10)),"")</f>
        <v/>
      </c>
      <c r="Q10" s="217" t="str">
        <f>IF(SUM('Current Rations'!C135:L135)&gt;0,((SUMPRODUCT('Current Rations'!C135:L135,'Current Rations'!C$27:L$27)/(SUMPRODUCT('Current Rations'!C85:L85,'Current Rations'!C$27:L$27)+SUMPRODUCT('Current Rations'!C110:L110,'Current Rations'!C$27:L$27)+SUMPRODUCT('Current Rations'!C135:L135,'Current Rations'!C$27:L$27))*H10)),"")</f>
        <v/>
      </c>
    </row>
    <row r="11" spans="1:21" x14ac:dyDescent="0.2">
      <c r="A11" s="29" t="str">
        <f>IF(Feeds!A8&gt;0,Feeds!A8,"")</f>
        <v/>
      </c>
      <c r="B11" s="37" t="str">
        <f>IF(SUM('Current Rations'!C9:L9)&gt;0,(SUMPRODUCT(('Current Rations'!C9:L9/Feeds!E8),'Current Rations'!C$27:L$27,'Current Rations'!C$28:L$28)/Feeds!C8),"")</f>
        <v/>
      </c>
      <c r="C11" s="34" t="str">
        <f>IF(SUM('Current Rations'!C9:L9)&gt;0,Feeds!B8,"")</f>
        <v/>
      </c>
      <c r="D11" s="35" t="str">
        <f>IF(SUM('Current Rations'!C9:L9)&gt;0,(B11/(1-Feeds!F8))-'Current Rations Cost Summary'!B11,"")</f>
        <v/>
      </c>
      <c r="E11" s="36" t="str">
        <f>IF(SUM('Current Rations'!C9:L9)&gt;0,D11*Feeds!D8,"")</f>
        <v/>
      </c>
      <c r="F11" s="37" t="str">
        <f>IF(SUM('Current Rations'!C9:L9)&gt;0,(SUM(D11,B11)),"")</f>
        <v/>
      </c>
      <c r="G11" s="38" t="str">
        <f>IF(SUM('Current Rations'!C9:L9)&gt;0,Feeds!B8,"")</f>
        <v/>
      </c>
      <c r="H11" s="36" t="str">
        <f>IF(SUM('Current Rations'!C9:L9)&gt;0,F11*Feeds!D8,"")</f>
        <v/>
      </c>
      <c r="I11" s="36" t="str">
        <f>IF(SUM('Current Rations'!C9:L9)&gt;0,IF(Feeds!K8=TRUE,H11,""),"")</f>
        <v/>
      </c>
      <c r="J11" s="36" t="str">
        <f>IF(SUM('Current Rations'!C9:L9)&gt;0,IF(Feeds!K8=FALSE,H11,""),"")</f>
        <v/>
      </c>
      <c r="K11" s="36" t="str">
        <f>IF(SUM('Current Rations'!C9:L9)&gt;0,IF(Feeds!J8=TRUE,H11,""),"")</f>
        <v/>
      </c>
      <c r="L11" s="36" t="str">
        <f>IF(SUM('Current Rations'!C9:L9)&gt;0,IF(Feeds!J8=TRUE,(IF(Feeds!K8=FALSE,H11,"")),""),"")</f>
        <v/>
      </c>
      <c r="M11" s="36" t="str">
        <f>IF(SUM('Current Rations'!C9:L9)&gt;0,IF(Feeds!J8=TRUE,(IF(Feeds!K8=TRUE,H11,"")),""),"")</f>
        <v/>
      </c>
      <c r="N11" s="36" t="str">
        <f>IF(SUM('Current Rations'!D9:O9)&gt;0,IF(Feeds!J8=FALSE,H11,""),"")</f>
        <v/>
      </c>
      <c r="O11" s="36" t="str">
        <f>IF(SUM('Current Rations'!C86:L86)&gt;0,((SUMPRODUCT('Current Rations'!C86:L86,'Current Rations'!C$27:L$27)/(SUMPRODUCT('Current Rations'!C86:L86,'Current Rations'!C$27:L$27)+SUMPRODUCT('Current Rations'!C111:L111,'Current Rations'!C$27:L$27)+SUMPRODUCT('Current Rations'!C136:L136,'Current Rations'!C$27:L$27))*H11)),"")</f>
        <v/>
      </c>
      <c r="P11" s="36" t="str">
        <f>IF(SUM('Current Rations'!C111:L111)&gt;0,((SUMPRODUCT('Current Rations'!C111:L111,'Current Rations'!C$27:L$27)/(SUMPRODUCT('Current Rations'!C86:L86,'Current Rations'!C$27:L$27)+SUMPRODUCT('Current Rations'!C111:L111,'Current Rations'!C$27:L$27)+SUMPRODUCT('Current Rations'!C136:L136,'Current Rations'!C$27:L$27))*H11)),"")</f>
        <v/>
      </c>
      <c r="Q11" s="217" t="str">
        <f>IF(SUM('Current Rations'!C136:L136)&gt;0,((SUMPRODUCT('Current Rations'!C136:L136,'Current Rations'!C$27:L$27)/(SUMPRODUCT('Current Rations'!C86:L86,'Current Rations'!C$27:L$27)+SUMPRODUCT('Current Rations'!C111:L111,'Current Rations'!C$27:L$27)+SUMPRODUCT('Current Rations'!C136:L136,'Current Rations'!C$27:L$27))*H11)),"")</f>
        <v/>
      </c>
    </row>
    <row r="12" spans="1:21" x14ac:dyDescent="0.2">
      <c r="A12" s="29" t="str">
        <f>IF(Feeds!A9&gt;0,Feeds!A9,"")</f>
        <v/>
      </c>
      <c r="B12" s="37" t="str">
        <f>IF(SUM('Current Rations'!C10:L10)&gt;0,(SUMPRODUCT(('Current Rations'!C10:L10/Feeds!E9),'Current Rations'!C$27:L$27,'Current Rations'!C$28:L$28)/Feeds!C9),"")</f>
        <v/>
      </c>
      <c r="C12" s="34" t="str">
        <f>IF(SUM('Current Rations'!C10:L10)&gt;0,Feeds!B9,"")</f>
        <v/>
      </c>
      <c r="D12" s="35" t="str">
        <f>IF(SUM('Current Rations'!C10:L10)&gt;0,(B12/(1-Feeds!F9))-'Current Rations Cost Summary'!B12,"")</f>
        <v/>
      </c>
      <c r="E12" s="36" t="str">
        <f>IF(SUM('Current Rations'!C10:L10)&gt;0,D12*Feeds!D9,"")</f>
        <v/>
      </c>
      <c r="F12" s="37" t="str">
        <f>IF(SUM('Current Rations'!C10:L10)&gt;0,(SUM(D12,B12)),"")</f>
        <v/>
      </c>
      <c r="G12" s="38" t="str">
        <f>IF(SUM('Current Rations'!C10:L10)&gt;0,Feeds!B9,"")</f>
        <v/>
      </c>
      <c r="H12" s="36" t="str">
        <f>IF(SUM('Current Rations'!C10:L10)&gt;0,F12*Feeds!D9,"")</f>
        <v/>
      </c>
      <c r="I12" s="36" t="str">
        <f>IF(SUM('Current Rations'!C10:L10)&gt;0,IF(Feeds!K9=TRUE,H12,""),"")</f>
        <v/>
      </c>
      <c r="J12" s="36" t="str">
        <f>IF(SUM('Current Rations'!C10:L10)&gt;0,IF(Feeds!K9=FALSE,H12,""),"")</f>
        <v/>
      </c>
      <c r="K12" s="36" t="str">
        <f>IF(SUM('Current Rations'!C10:L10)&gt;0,IF(Feeds!J9=TRUE,H12,""),"")</f>
        <v/>
      </c>
      <c r="L12" s="36" t="str">
        <f>IF(SUM('Current Rations'!C10:L10)&gt;0,IF(Feeds!J9=TRUE,(IF(Feeds!K9=FALSE,H12,"")),""),"")</f>
        <v/>
      </c>
      <c r="M12" s="36" t="str">
        <f>IF(SUM('Current Rations'!C10:L10)&gt;0,IF(Feeds!J9=TRUE,(IF(Feeds!K9=TRUE,H12,"")),""),"")</f>
        <v/>
      </c>
      <c r="N12" s="36" t="str">
        <f>IF(SUM('Current Rations'!D10:O10)&gt;0,IF(Feeds!J9=FALSE,H12,""),"")</f>
        <v/>
      </c>
      <c r="O12" s="36" t="str">
        <f>IF(SUM('Current Rations'!C87:L87)&gt;0,((SUMPRODUCT('Current Rations'!C87:L87,'Current Rations'!C$27:L$27)/(SUMPRODUCT('Current Rations'!C87:L87,'Current Rations'!C$27:L$27)+SUMPRODUCT('Current Rations'!C112:L112,'Current Rations'!C$27:L$27)+SUMPRODUCT('Current Rations'!C137:L137,'Current Rations'!C$27:L$27))*H12)),"")</f>
        <v/>
      </c>
      <c r="P12" s="219" t="str">
        <f>IF(SUM('Current Rations'!C112:L112)&gt;0,((SUMPRODUCT('Current Rations'!C112:L112,'Current Rations'!C$27:L$27)/(SUMPRODUCT('Current Rations'!C87:L87,'Current Rations'!C$27:L$27)+SUMPRODUCT('Current Rations'!C112:L112,'Current Rations'!C$27:L$27)+SUMPRODUCT('Current Rations'!C137:L137,'Current Rations'!C$27:L$27))*H12)),"")</f>
        <v/>
      </c>
      <c r="Q12" s="217" t="str">
        <f>IF(SUM('Current Rations'!C137:L137)&gt;0,((SUMPRODUCT('Current Rations'!C137:L137,'Current Rations'!C$27:L$27)/(SUMPRODUCT('Current Rations'!C87:L87,'Current Rations'!C$27:L$27)+SUMPRODUCT('Current Rations'!C112:L112,'Current Rations'!C$27:L$27)+SUMPRODUCT('Current Rations'!C137:L137,'Current Rations'!C$27:L$27))*H12)),"")</f>
        <v/>
      </c>
    </row>
    <row r="13" spans="1:21" x14ac:dyDescent="0.2">
      <c r="A13" s="29" t="str">
        <f>IF(Feeds!A10&gt;0,Feeds!A10,"")</f>
        <v/>
      </c>
      <c r="B13" s="37" t="str">
        <f>IF(SUM('Current Rations'!C11:L11)&gt;0,(SUMPRODUCT(('Current Rations'!C11:L11/Feeds!E10),'Current Rations'!C$27:L$27,'Current Rations'!C$28:L$28)/Feeds!C10),"")</f>
        <v/>
      </c>
      <c r="C13" s="34" t="str">
        <f>IF(SUM('Current Rations'!C11:L11)&gt;0,Feeds!B10,"")</f>
        <v/>
      </c>
      <c r="D13" s="35" t="str">
        <f>IF(SUM('Current Rations'!C11:L11)&gt;0,(B13/(1-Feeds!F10))-'Current Rations Cost Summary'!B13,"")</f>
        <v/>
      </c>
      <c r="E13" s="36" t="str">
        <f>IF(SUM('Current Rations'!C11:L11)&gt;0,D13*Feeds!D10,"")</f>
        <v/>
      </c>
      <c r="F13" s="37" t="str">
        <f>IF(SUM('Current Rations'!C11:L11)&gt;0,(SUM(D13,B13)),"")</f>
        <v/>
      </c>
      <c r="G13" s="38" t="str">
        <f>IF(SUM('Current Rations'!C11:L11)&gt;0,Feeds!B10,"")</f>
        <v/>
      </c>
      <c r="H13" s="36" t="str">
        <f>IF(SUM('Current Rations'!C11:L11)&gt;0,F13*Feeds!D10,"")</f>
        <v/>
      </c>
      <c r="I13" s="36" t="str">
        <f>IF(SUM('Current Rations'!C11:L11)&gt;0,IF(Feeds!K10=TRUE,H13,""),"")</f>
        <v/>
      </c>
      <c r="J13" s="36" t="str">
        <f>IF(SUM('Current Rations'!C11:L11)&gt;0,IF(Feeds!K10=FALSE,H13,""),"")</f>
        <v/>
      </c>
      <c r="K13" s="36" t="str">
        <f>IF(SUM('Current Rations'!C11:L11)&gt;0,IF(Feeds!J10=TRUE,H13,""),"")</f>
        <v/>
      </c>
      <c r="L13" s="36" t="str">
        <f>IF(SUM('Current Rations'!C11:L11)&gt;0,IF(Feeds!J10=TRUE,(IF(Feeds!K10=FALSE,H13,"")),""),"")</f>
        <v/>
      </c>
      <c r="M13" s="36" t="str">
        <f>IF(SUM('Current Rations'!C11:L11)&gt;0,IF(Feeds!J10=TRUE,(IF(Feeds!K10=TRUE,H13,"")),""),"")</f>
        <v/>
      </c>
      <c r="N13" s="36" t="str">
        <f>IF(SUM('Current Rations'!D11:O11)&gt;0,IF(Feeds!J10=FALSE,H13,""),"")</f>
        <v/>
      </c>
      <c r="O13" s="36" t="str">
        <f>IF(SUM('Current Rations'!C88:L88)&gt;0,((SUMPRODUCT('Current Rations'!C88:L88,'Current Rations'!C$27:L$27)/(SUMPRODUCT('Current Rations'!C88:L88,'Current Rations'!C$27:L$27)+SUMPRODUCT('Current Rations'!C113:L113,'Current Rations'!C$27:L$27)+SUMPRODUCT('Current Rations'!C138:L138,'Current Rations'!C$27:L$27))*H13)),"")</f>
        <v/>
      </c>
      <c r="P13" s="36" t="str">
        <f>IF(SUM('Current Rations'!C113:L113)&gt;0,((SUMPRODUCT('Current Rations'!C113:L113,'Current Rations'!C$27:L$27)/(SUMPRODUCT('Current Rations'!C88:L88,'Current Rations'!C$27:L$27)+SUMPRODUCT('Current Rations'!C113:L113,'Current Rations'!C$27:L$27)+SUMPRODUCT('Current Rations'!C138:L138,'Current Rations'!C$27:L$27))*H13)),"")</f>
        <v/>
      </c>
      <c r="Q13" s="217" t="str">
        <f>IF(SUM('Current Rations'!C138:L138)&gt;0,((SUMPRODUCT('Current Rations'!C138:L138,'Current Rations'!C$27:L$27)/(SUMPRODUCT('Current Rations'!C88:L88,'Current Rations'!C$27:L$27)+SUMPRODUCT('Current Rations'!C113:L113,'Current Rations'!C$27:L$27)+SUMPRODUCT('Current Rations'!C138:L138,'Current Rations'!C$27:L$27))*H13)),"")</f>
        <v/>
      </c>
    </row>
    <row r="14" spans="1:21" x14ac:dyDescent="0.2">
      <c r="A14" s="29" t="str">
        <f>IF(Feeds!A11&gt;0,Feeds!A11,"")</f>
        <v/>
      </c>
      <c r="B14" s="37" t="str">
        <f>IF(SUM('Current Rations'!C12:L12)&gt;0,(SUMPRODUCT(('Current Rations'!C12:L12/Feeds!E11),'Current Rations'!C$27:L$27,'Current Rations'!C$28:L$28)/Feeds!C11),"")</f>
        <v/>
      </c>
      <c r="C14" s="34" t="str">
        <f>IF(SUM('Current Rations'!C12:L12)&gt;0,Feeds!B11,"")</f>
        <v/>
      </c>
      <c r="D14" s="35" t="str">
        <f>IF(SUM('Current Rations'!C12:L12)&gt;0,(B14/(1-Feeds!F11))-'Current Rations Cost Summary'!B14,"")</f>
        <v/>
      </c>
      <c r="E14" s="36" t="str">
        <f>IF(SUM('Current Rations'!C12:L12)&gt;0,D14*Feeds!D11,"")</f>
        <v/>
      </c>
      <c r="F14" s="37" t="str">
        <f>IF(SUM('Current Rations'!C12:L12)&gt;0,(SUM(D14,B14)),"")</f>
        <v/>
      </c>
      <c r="G14" s="38" t="str">
        <f>IF(SUM('Current Rations'!C12:L12)&gt;0,Feeds!B11,"")</f>
        <v/>
      </c>
      <c r="H14" s="36" t="str">
        <f>IF(SUM('Current Rations'!C12:L12)&gt;0,F14*Feeds!D11,"")</f>
        <v/>
      </c>
      <c r="I14" s="36" t="str">
        <f>IF(SUM('Current Rations'!C12:L12)&gt;0,IF(Feeds!K11=TRUE,H14,""),"")</f>
        <v/>
      </c>
      <c r="J14" s="36" t="str">
        <f>IF(SUM('Current Rations'!C12:L12)&gt;0,IF(Feeds!K11=FALSE,H14,""),"")</f>
        <v/>
      </c>
      <c r="K14" s="36" t="str">
        <f>IF(SUM('Current Rations'!C12:L12)&gt;0,IF(Feeds!J11=TRUE,H14,""),"")</f>
        <v/>
      </c>
      <c r="L14" s="36" t="str">
        <f>IF(SUM('Current Rations'!C12:L12)&gt;0,IF(Feeds!J11=TRUE,(IF(Feeds!K11=FALSE,H14,"")),""),"")</f>
        <v/>
      </c>
      <c r="M14" s="36" t="str">
        <f>IF(SUM('Current Rations'!C12:L12)&gt;0,IF(Feeds!J11=TRUE,(IF(Feeds!K11=TRUE,H14,"")),""),"")</f>
        <v/>
      </c>
      <c r="N14" s="36" t="str">
        <f>IF(SUM('Current Rations'!D12:O12)&gt;0,IF(Feeds!J11=FALSE,H14,""),"")</f>
        <v/>
      </c>
      <c r="O14" s="36" t="str">
        <f>IF(SUM('Current Rations'!C89:L89)&gt;0,((SUMPRODUCT('Current Rations'!C89:L89,'Current Rations'!C$27:L$27)/(SUMPRODUCT('Current Rations'!C89:L89,'Current Rations'!C$27:L$27)+SUMPRODUCT('Current Rations'!C114:L114,'Current Rations'!C$27:L$27)+SUMPRODUCT('Current Rations'!C139:L139,'Current Rations'!C$27:L$27))*H14)),"")</f>
        <v/>
      </c>
      <c r="P14" s="218" t="str">
        <f>IF(SUM('Current Rations'!C114:L114)&gt;0,((SUMPRODUCT('Current Rations'!C114:L114,'Current Rations'!C$27:L$27)/(SUMPRODUCT('Current Rations'!C89:L89,'Current Rations'!C$27:L$27)+SUMPRODUCT('Current Rations'!C114:L114,'Current Rations'!C$27:L$27)+SUMPRODUCT('Current Rations'!C139:L139,'Current Rations'!C$27:L$27))*H14)),"")</f>
        <v/>
      </c>
      <c r="Q14" s="36" t="str">
        <f>IF(SUM('Current Rations'!C139:L139)&gt;0,((SUMPRODUCT('Current Rations'!C139:L139,'Current Rations'!C$27:L$27)/(SUMPRODUCT('Current Rations'!C89:L89,'Current Rations'!C$27:L$27)+SUMPRODUCT('Current Rations'!C114:L114,'Current Rations'!C$27:L$27)+SUMPRODUCT('Current Rations'!C139:L139,'Current Rations'!C$27:L$27))*H14)),"")</f>
        <v/>
      </c>
    </row>
    <row r="15" spans="1:21" x14ac:dyDescent="0.2">
      <c r="A15" s="29" t="str">
        <f>IF(Feeds!A12&gt;0,Feeds!A12,"")</f>
        <v/>
      </c>
      <c r="B15" s="37" t="str">
        <f>IF(SUM('Current Rations'!C13:L13)&gt;0,(SUMPRODUCT(('Current Rations'!C13:L13/Feeds!E12),'Current Rations'!C$27:L$27,'Current Rations'!C$28:L$28)/Feeds!C12),"")</f>
        <v/>
      </c>
      <c r="C15" s="34" t="str">
        <f>IF(SUM('Current Rations'!C13:L13)&gt;0,Feeds!B12,"")</f>
        <v/>
      </c>
      <c r="D15" s="35" t="str">
        <f>IF(SUM('Current Rations'!C13:L13)&gt;0,(B15/(1-Feeds!F12))-'Current Rations Cost Summary'!B15,"")</f>
        <v/>
      </c>
      <c r="E15" s="36" t="str">
        <f>IF(SUM('Current Rations'!C13:L13)&gt;0,D15*Feeds!D12,"")</f>
        <v/>
      </c>
      <c r="F15" s="37" t="str">
        <f>IF(SUM('Current Rations'!C13:L13)&gt;0,(SUM(D15,B15)),"")</f>
        <v/>
      </c>
      <c r="G15" s="38" t="str">
        <f>IF(SUM('Current Rations'!C13:L13)&gt;0,Feeds!B12,"")</f>
        <v/>
      </c>
      <c r="H15" s="36" t="str">
        <f>IF(SUM('Current Rations'!C13:L13)&gt;0,F15*Feeds!D12,"")</f>
        <v/>
      </c>
      <c r="I15" s="36" t="str">
        <f>IF(SUM('Current Rations'!C13:L13)&gt;0,IF(Feeds!K12=TRUE,H15,""),"")</f>
        <v/>
      </c>
      <c r="J15" s="36" t="str">
        <f>IF(SUM('Current Rations'!C13:L13)&gt;0,IF(Feeds!K12=FALSE,H15,""),"")</f>
        <v/>
      </c>
      <c r="K15" s="36" t="str">
        <f>IF(SUM('Current Rations'!C13:L13)&gt;0,IF(Feeds!J12=TRUE,H15,""),"")</f>
        <v/>
      </c>
      <c r="L15" s="36" t="str">
        <f>IF(SUM('Current Rations'!C13:L13)&gt;0,IF(Feeds!J12=TRUE,(IF(Feeds!K12=FALSE,H15,"")),""),"")</f>
        <v/>
      </c>
      <c r="M15" s="36" t="str">
        <f>IF(SUM('Current Rations'!C13:L13)&gt;0,IF(Feeds!J12=TRUE,(IF(Feeds!K12=TRUE,H15,"")),""),"")</f>
        <v/>
      </c>
      <c r="N15" s="36" t="str">
        <f>IF(SUM('Current Rations'!D13:O13)&gt;0,IF(Feeds!J12=FALSE,H15,""),"")</f>
        <v/>
      </c>
      <c r="O15" s="36" t="str">
        <f>IF(SUM('Current Rations'!C90:L90)&gt;0,((SUMPRODUCT('Current Rations'!C90:L90,'Current Rations'!C$27:L$27)/(SUMPRODUCT('Current Rations'!C90:L90,'Current Rations'!C$27:L$27)+SUMPRODUCT('Current Rations'!C115:L115,'Current Rations'!C$27:L$27)+SUMPRODUCT('Current Rations'!C140:L140,'Current Rations'!C$27:L$27))*H15)),"")</f>
        <v/>
      </c>
      <c r="P15" s="219" t="str">
        <f>IF(SUM('Current Rations'!C115:L115)&gt;0,((SUMPRODUCT('Current Rations'!C115:L115,'Current Rations'!C$27:L$27)/(SUMPRODUCT('Current Rations'!C90:L90,'Current Rations'!C$27:L$27)+SUMPRODUCT('Current Rations'!C115:L115,'Current Rations'!C$27:L$27)+SUMPRODUCT('Current Rations'!C140:L140,'Current Rations'!C$27:L$27))*H15)),"")</f>
        <v/>
      </c>
      <c r="Q15" s="36" t="str">
        <f>IF(SUM('Current Rations'!C140:L140)&gt;0,((SUMPRODUCT('Current Rations'!C140:L140,'Current Rations'!C$27:L$27)/(SUMPRODUCT('Current Rations'!C90:L90,'Current Rations'!C$27:L$27)+SUMPRODUCT('Current Rations'!C115:L115,'Current Rations'!C$27:L$27)+SUMPRODUCT('Current Rations'!C140:L140,'Current Rations'!C$27:L$27))*H15)),"")</f>
        <v/>
      </c>
    </row>
    <row r="16" spans="1:21" x14ac:dyDescent="0.2">
      <c r="A16" s="29" t="str">
        <f>IF(Feeds!A13&gt;0,Feeds!A13,"")</f>
        <v/>
      </c>
      <c r="B16" s="37" t="str">
        <f>IF(SUM('Current Rations'!C14:L14)&gt;0,(SUMPRODUCT(('Current Rations'!C14:L14/Feeds!E13),'Current Rations'!C$27:L$27,'Current Rations'!C$28:L$28)/Feeds!C13),"")</f>
        <v/>
      </c>
      <c r="C16" s="34" t="str">
        <f>IF(SUM('Current Rations'!C14:L14)&gt;0,Feeds!B13,"")</f>
        <v/>
      </c>
      <c r="D16" s="35" t="str">
        <f>IF(SUM('Current Rations'!C14:L14)&gt;0,(B16/(1-Feeds!F13))-'Current Rations Cost Summary'!B16,"")</f>
        <v/>
      </c>
      <c r="E16" s="36" t="str">
        <f>IF(SUM('Current Rations'!C14:L14)&gt;0,D16*Feeds!D13,"")</f>
        <v/>
      </c>
      <c r="F16" s="37" t="str">
        <f>IF(SUM('Current Rations'!C14:L14)&gt;0,(SUM(D16,B16)),"")</f>
        <v/>
      </c>
      <c r="G16" s="38" t="str">
        <f>IF(SUM('Current Rations'!C14:L14)&gt;0,Feeds!B13,"")</f>
        <v/>
      </c>
      <c r="H16" s="36" t="str">
        <f>IF(SUM('Current Rations'!C14:L14)&gt;0,F16*Feeds!D13,"")</f>
        <v/>
      </c>
      <c r="I16" s="36" t="str">
        <f>IF(SUM('Current Rations'!C14:L14)&gt;0,IF(Feeds!K13=TRUE,H16,""),"")</f>
        <v/>
      </c>
      <c r="J16" s="36" t="str">
        <f>IF(SUM('Current Rations'!C14:L14)&gt;0,IF(Feeds!K13=FALSE,H16,""),"")</f>
        <v/>
      </c>
      <c r="K16" s="36" t="str">
        <f>IF(SUM('Current Rations'!C14:L14)&gt;0,IF(Feeds!J13=TRUE,H16,""),"")</f>
        <v/>
      </c>
      <c r="L16" s="36" t="str">
        <f>IF(SUM('Current Rations'!C14:L14)&gt;0,IF(Feeds!J13=TRUE,(IF(Feeds!K13=FALSE,H16,"")),""),"")</f>
        <v/>
      </c>
      <c r="M16" s="36" t="str">
        <f>IF(SUM('Current Rations'!C14:L14)&gt;0,IF(Feeds!J13=TRUE,(IF(Feeds!K13=TRUE,H16,"")),""),"")</f>
        <v/>
      </c>
      <c r="N16" s="36" t="str">
        <f>IF(SUM('Current Rations'!D14:O14)&gt;0,IF(Feeds!J13=FALSE,H16,""),"")</f>
        <v/>
      </c>
      <c r="O16" s="219" t="str">
        <f>IF(SUM('Current Rations'!C91:L91)&gt;0,((SUMPRODUCT('Current Rations'!C91:L91,'Current Rations'!C$27:L$27)/(SUMPRODUCT('Current Rations'!C91:L91,'Current Rations'!C$27:L$27)+SUMPRODUCT('Current Rations'!C116:L116,'Current Rations'!C$27:L$27)+SUMPRODUCT('Current Rations'!C141:L141,'Current Rations'!C$27:L$27))*H16)),"")</f>
        <v/>
      </c>
      <c r="P16" s="36" t="str">
        <f>IF(SUM('Current Rations'!C116:L116)&gt;0,((SUMPRODUCT('Current Rations'!C116:L116,'Current Rations'!C$27:L$27)/(SUMPRODUCT('Current Rations'!C91:L91,'Current Rations'!C$27:L$27)+SUMPRODUCT('Current Rations'!C116:L116,'Current Rations'!C$27:L$27)+SUMPRODUCT('Current Rations'!C141:L141,'Current Rations'!C$27:L$27))*H16)),"")</f>
        <v/>
      </c>
      <c r="Q16" s="219" t="str">
        <f>IF(SUM('Current Rations'!C141:L141)&gt;0,((SUMPRODUCT('Current Rations'!C141:L141,'Current Rations'!C$27:L$27)/(SUMPRODUCT('Current Rations'!C91:L91,'Current Rations'!C$27:L$27)+SUMPRODUCT('Current Rations'!C116:L116,'Current Rations'!C$27:L$27)+SUMPRODUCT('Current Rations'!C141:L141,'Current Rations'!C$27:L$27))*H16)),"")</f>
        <v/>
      </c>
    </row>
    <row r="17" spans="1:22" x14ac:dyDescent="0.2">
      <c r="A17" s="29" t="str">
        <f>IF(Feeds!A14&gt;0,Feeds!A14,"")</f>
        <v/>
      </c>
      <c r="B17" s="37" t="str">
        <f>IF(SUM('Current Rations'!C15:L15)&gt;0,(SUMPRODUCT(('Current Rations'!C15:L15/Feeds!E14),'Current Rations'!C$27:L$27,'Current Rations'!C$28:L$28)/Feeds!C14),"")</f>
        <v/>
      </c>
      <c r="C17" s="34" t="str">
        <f>IF(SUM('Current Rations'!C15:L15)&gt;0,Feeds!B14,"")</f>
        <v/>
      </c>
      <c r="D17" s="35" t="str">
        <f>IF(SUM('Current Rations'!C15:L15)&gt;0,(B17/(1-Feeds!F14))-'Current Rations Cost Summary'!B17,"")</f>
        <v/>
      </c>
      <c r="E17" s="36" t="str">
        <f>IF(SUM('Current Rations'!C15:L15)&gt;0,D17*Feeds!D14,"")</f>
        <v/>
      </c>
      <c r="F17" s="37" t="str">
        <f>IF(SUM('Current Rations'!C15:L15)&gt;0,(SUM(D17,B17)),"")</f>
        <v/>
      </c>
      <c r="G17" s="38" t="str">
        <f>IF(SUM('Current Rations'!C15:L15)&gt;0,Feeds!B14,"")</f>
        <v/>
      </c>
      <c r="H17" s="36" t="str">
        <f>IF(SUM('Current Rations'!C15:L15)&gt;0,F17*Feeds!D14,"")</f>
        <v/>
      </c>
      <c r="I17" s="36" t="str">
        <f>IF(SUM('Current Rations'!C15:L15)&gt;0,IF(Feeds!K14=TRUE,H17,""),"")</f>
        <v/>
      </c>
      <c r="J17" s="36" t="str">
        <f>IF(SUM('Current Rations'!C15:L15)&gt;0,IF(Feeds!K14=FALSE,H17,""),"")</f>
        <v/>
      </c>
      <c r="K17" s="36" t="str">
        <f>IF(SUM('Current Rations'!C15:L15)&gt;0,IF(Feeds!J14=TRUE,H17,""),"")</f>
        <v/>
      </c>
      <c r="L17" s="36" t="str">
        <f>IF(SUM('Current Rations'!C15:L15)&gt;0,IF(Feeds!J14=TRUE,(IF(Feeds!K14=FALSE,H17,"")),""),"")</f>
        <v/>
      </c>
      <c r="M17" s="36" t="str">
        <f>IF(SUM('Current Rations'!C15:L15)&gt;0,IF(Feeds!J14=TRUE,(IF(Feeds!K14=TRUE,H17,"")),""),"")</f>
        <v/>
      </c>
      <c r="N17" s="36" t="str">
        <f>IF(SUM('Current Rations'!D15:O15)&gt;0,IF(Feeds!J14=FALSE,H17,""),"")</f>
        <v/>
      </c>
      <c r="O17" s="217" t="str">
        <f>IF(SUM('Current Rations'!C92:L92)&gt;0,((SUMPRODUCT('Current Rations'!C92:L92,'Current Rations'!C$27:L$27)/(SUMPRODUCT('Current Rations'!C92:L92,'Current Rations'!C$27:L$27)+SUMPRODUCT('Current Rations'!C117:L117,'Current Rations'!C$27:L$27)+SUMPRODUCT('Current Rations'!C142:L142,'Current Rations'!C$27:L$27))*H17)),"")</f>
        <v/>
      </c>
      <c r="P17" s="36" t="str">
        <f>IF(SUM('Current Rations'!C117:L117)&gt;0,((SUMPRODUCT('Current Rations'!C117:L117,'Current Rations'!C$27:L$27)/(SUMPRODUCT('Current Rations'!C92:L92,'Current Rations'!C$27:L$27)+SUMPRODUCT('Current Rations'!C117:L117,'Current Rations'!C$27:L$27)+SUMPRODUCT('Current Rations'!C142:L142,'Current Rations'!C$27:L$27))*H17)),"")</f>
        <v/>
      </c>
      <c r="Q17" s="217" t="str">
        <f>IF(SUM('Current Rations'!C142:L142)&gt;0,((SUMPRODUCT('Current Rations'!C142:L142,'Current Rations'!C$27:L$27)/(SUMPRODUCT('Current Rations'!C92:L92,'Current Rations'!C$27:L$27)+SUMPRODUCT('Current Rations'!C117:L117,'Current Rations'!C$27:L$27)+SUMPRODUCT('Current Rations'!C142:L142,'Current Rations'!C$27:L$27))*H17)),"")</f>
        <v/>
      </c>
    </row>
    <row r="18" spans="1:22" x14ac:dyDescent="0.2">
      <c r="A18" s="29" t="str">
        <f>IF(Feeds!A15&gt;0,Feeds!A15,"")</f>
        <v/>
      </c>
      <c r="B18" s="37" t="str">
        <f>IF(SUM('Current Rations'!C16:L16)&gt;0,(SUMPRODUCT(('Current Rations'!C16:L16/Feeds!E15),'Current Rations'!C$27:L$27,'Current Rations'!C$28:L$28)/Feeds!C15),"")</f>
        <v/>
      </c>
      <c r="C18" s="34" t="str">
        <f>IF(SUM('Current Rations'!C16:L16)&gt;0,Feeds!B15,"")</f>
        <v/>
      </c>
      <c r="D18" s="35" t="str">
        <f>IF(SUM('Current Rations'!C16:L16)&gt;0,(B18/(1-Feeds!F15))-'Current Rations Cost Summary'!B18,"")</f>
        <v/>
      </c>
      <c r="E18" s="36" t="str">
        <f>IF(SUM('Current Rations'!C16:L16)&gt;0,D18*Feeds!D15,"")</f>
        <v/>
      </c>
      <c r="F18" s="37" t="str">
        <f>IF(SUM('Current Rations'!C16:L16)&gt;0,(SUM(D18,B18)),"")</f>
        <v/>
      </c>
      <c r="G18" s="38" t="str">
        <f>IF(SUM('Current Rations'!C16:L16)&gt;0,Feeds!B15,"")</f>
        <v/>
      </c>
      <c r="H18" s="36" t="str">
        <f>IF(SUM('Current Rations'!C16:L16)&gt;0,F18*Feeds!D15,"")</f>
        <v/>
      </c>
      <c r="I18" s="36" t="str">
        <f>IF(SUM('Current Rations'!C16:L16)&gt;0,IF(Feeds!K15=TRUE,H18,""),"")</f>
        <v/>
      </c>
      <c r="J18" s="36" t="str">
        <f>IF(SUM('Current Rations'!C16:L16)&gt;0,IF(Feeds!K15=FALSE,H18,""),"")</f>
        <v/>
      </c>
      <c r="K18" s="36" t="str">
        <f>IF(SUM('Current Rations'!C16:L16)&gt;0,IF(Feeds!J15=TRUE,H18,""),"")</f>
        <v/>
      </c>
      <c r="L18" s="36" t="str">
        <f>IF(SUM('Current Rations'!C16:L16)&gt;0,IF(Feeds!J15=TRUE,(IF(Feeds!K15=FALSE,H18,"")),""),"")</f>
        <v/>
      </c>
      <c r="M18" s="36" t="str">
        <f>IF(SUM('Current Rations'!C16:L16)&gt;0,IF(Feeds!J15=TRUE,(IF(Feeds!K15=TRUE,H18,"")),""),"")</f>
        <v/>
      </c>
      <c r="N18" s="36" t="str">
        <f>IF(SUM('Current Rations'!D16:O16)&gt;0,IF(Feeds!J15=FALSE,H18,""),"")</f>
        <v/>
      </c>
      <c r="O18" s="36" t="str">
        <f>IF(SUM('Current Rations'!C93:L93)&gt;0,((SUMPRODUCT('Current Rations'!C93:L93,'Current Rations'!C$27:L$27)/(SUMPRODUCT('Current Rations'!C93:L93,'Current Rations'!C$27:L$27)+SUMPRODUCT('Current Rations'!C118:L118,'Current Rations'!C$27:L$27)+SUMPRODUCT('Current Rations'!C143:L143,'Current Rations'!C$27:L$27))*H18)),"")</f>
        <v/>
      </c>
      <c r="P18" s="218" t="str">
        <f>IF(SUM('Current Rations'!C118:L118)&gt;0,((SUMPRODUCT('Current Rations'!C118:L118,'Current Rations'!C$27:L$27)/(SUMPRODUCT('Current Rations'!C93:L93,'Current Rations'!C$27:L$27)+SUMPRODUCT('Current Rations'!C118:L118,'Current Rations'!C$27:L$27)+SUMPRODUCT('Current Rations'!C143:L143,'Current Rations'!C$27:L$27))*H18)),"")</f>
        <v/>
      </c>
      <c r="Q18" s="217" t="str">
        <f>IF(SUM('Current Rations'!C143:L143)&gt;0,((SUMPRODUCT('Current Rations'!C143:L143,'Current Rations'!C$27:L$27)/(SUMPRODUCT('Current Rations'!C93:L93,'Current Rations'!C$27:L$27)+SUMPRODUCT('Current Rations'!C118:L118,'Current Rations'!C$27:L$27)+SUMPRODUCT('Current Rations'!C143:L143,'Current Rations'!C$27:L$27))*H18)),"")</f>
        <v/>
      </c>
    </row>
    <row r="19" spans="1:22" x14ac:dyDescent="0.2">
      <c r="A19" s="29" t="str">
        <f>IF(Feeds!A16&gt;0,Feeds!A16,"")</f>
        <v/>
      </c>
      <c r="B19" s="37" t="str">
        <f>IF(SUM('Current Rations'!C17:L17)&gt;0,(SUMPRODUCT(('Current Rations'!C17:L17/Feeds!E16),'Current Rations'!C$27:L$27,'Current Rations'!C$28:L$28)/Feeds!C16),"")</f>
        <v/>
      </c>
      <c r="C19" s="34" t="str">
        <f>IF(SUM('Current Rations'!C17:L17)&gt;0,Feeds!B16,"")</f>
        <v/>
      </c>
      <c r="D19" s="35" t="str">
        <f>IF(SUM('Current Rations'!C17:L17)&gt;0,(B19/(1-Feeds!F16))-'Current Rations Cost Summary'!B19,"")</f>
        <v/>
      </c>
      <c r="E19" s="36" t="str">
        <f>IF(SUM('Current Rations'!C17:L17)&gt;0,D19*Feeds!D16,"")</f>
        <v/>
      </c>
      <c r="F19" s="37" t="str">
        <f>IF(SUM('Current Rations'!C17:L17)&gt;0,(SUM(D19,B19)),"")</f>
        <v/>
      </c>
      <c r="G19" s="38" t="str">
        <f>IF(SUM('Current Rations'!C17:L17)&gt;0,Feeds!B16,"")</f>
        <v/>
      </c>
      <c r="H19" s="36" t="str">
        <f>IF(SUM('Current Rations'!C17:L17)&gt;0,F19*Feeds!D16,"")</f>
        <v/>
      </c>
      <c r="I19" s="36" t="str">
        <f>IF(SUM('Current Rations'!C17:L17)&gt;0,IF(Feeds!K16=TRUE,H19,""),"")</f>
        <v/>
      </c>
      <c r="J19" s="36" t="str">
        <f>IF(SUM('Current Rations'!C17:L17)&gt;0,IF(Feeds!K16=FALSE,H19,""),"")</f>
        <v/>
      </c>
      <c r="K19" s="36" t="str">
        <f>IF(SUM('Current Rations'!C17:L17)&gt;0,IF(Feeds!J16=TRUE,H19,""),"")</f>
        <v/>
      </c>
      <c r="L19" s="36" t="str">
        <f>IF(SUM('Current Rations'!C17:L17)&gt;0,IF(Feeds!J16=TRUE,(IF(Feeds!K16=FALSE,H19,"")),""),"")</f>
        <v/>
      </c>
      <c r="M19" s="36" t="str">
        <f>IF(SUM('Current Rations'!C17:L17)&gt;0,IF(Feeds!J16=TRUE,(IF(Feeds!K16=TRUE,H19,"")),""),"")</f>
        <v/>
      </c>
      <c r="N19" s="36" t="str">
        <f>IF(SUM('Current Rations'!D17:O17)&gt;0,IF(Feeds!J16=FALSE,H19,""),"")</f>
        <v/>
      </c>
      <c r="O19" s="219" t="str">
        <f>IF(SUM('Current Rations'!C94:L94)&gt;0,((SUMPRODUCT('Current Rations'!C94:L94,'Current Rations'!C$27:L$27)/(SUMPRODUCT('Current Rations'!C94:L94,'Current Rations'!C$27:L$27)+SUMPRODUCT('Current Rations'!C119:L119,'Current Rations'!C$27:L$27)+SUMPRODUCT('Current Rations'!C144:L144,'Current Rations'!C$27:L$27))*H19)),"")</f>
        <v/>
      </c>
      <c r="P19" s="219" t="str">
        <f>IF(SUM('Current Rations'!C119:L119)&gt;0,((SUMPRODUCT('Current Rations'!C119:L119,'Current Rations'!C$27:L$27)/(SUMPRODUCT('Current Rations'!C94:L94,'Current Rations'!C$27:L$27)+SUMPRODUCT('Current Rations'!C119:L119,'Current Rations'!C$27:L$27)+SUMPRODUCT('Current Rations'!C144:L144,'Current Rations'!C$27:L$27))*H19)),"")</f>
        <v/>
      </c>
      <c r="Q19" s="217" t="str">
        <f>IF(SUM('Current Rations'!C144:L144)&gt;0,((SUMPRODUCT('Current Rations'!C144:L144,'Current Rations'!C$27:L$27)/(SUMPRODUCT('Current Rations'!C94:L94,'Current Rations'!C$27:L$27)+SUMPRODUCT('Current Rations'!C119:L119,'Current Rations'!C$27:L$27)+SUMPRODUCT('Current Rations'!C144:L144,'Current Rations'!C$27:L$27))*H19)),"")</f>
        <v/>
      </c>
    </row>
    <row r="20" spans="1:22" x14ac:dyDescent="0.2">
      <c r="A20" s="29" t="str">
        <f>IF(Feeds!A17&gt;0,Feeds!A17,"")</f>
        <v/>
      </c>
      <c r="B20" s="37" t="str">
        <f>IF(SUM('Current Rations'!C18:L18)&gt;0,(SUMPRODUCT(('Current Rations'!C18:L18/Feeds!E17),'Current Rations'!C$27:L$27,'Current Rations'!C$28:L$28)/Feeds!C17),"")</f>
        <v/>
      </c>
      <c r="C20" s="34" t="str">
        <f>IF(SUM('Current Rations'!C18:L18)&gt;0,Feeds!B17,"")</f>
        <v/>
      </c>
      <c r="D20" s="35" t="str">
        <f>IF(SUM('Current Rations'!C18:L18)&gt;0,(B20/(1-Feeds!F17))-'Current Rations Cost Summary'!B20,"")</f>
        <v/>
      </c>
      <c r="E20" s="36" t="str">
        <f>IF(SUM('Current Rations'!C18:L18)&gt;0,D20*Feeds!D17,"")</f>
        <v/>
      </c>
      <c r="F20" s="37" t="str">
        <f>IF(SUM('Current Rations'!C18:L18)&gt;0,(SUM(D20,B20)),"")</f>
        <v/>
      </c>
      <c r="G20" s="38" t="str">
        <f>IF(SUM('Current Rations'!C18:L18)&gt;0,Feeds!B17,"")</f>
        <v/>
      </c>
      <c r="H20" s="36" t="str">
        <f>IF(SUM('Current Rations'!C18:L18)&gt;0,F20*Feeds!D17,"")</f>
        <v/>
      </c>
      <c r="I20" s="36" t="str">
        <f>IF(SUM('Current Rations'!C18:L18)&gt;0,IF(Feeds!K17=TRUE,H20,""),"")</f>
        <v/>
      </c>
      <c r="J20" s="36" t="str">
        <f>IF(SUM('Current Rations'!C18:L18)&gt;0,IF(Feeds!K17=FALSE,H20,""),"")</f>
        <v/>
      </c>
      <c r="K20" s="36" t="str">
        <f>IF(SUM('Current Rations'!C18:L18)&gt;0,IF(Feeds!J17=TRUE,H20,""),"")</f>
        <v/>
      </c>
      <c r="L20" s="36" t="str">
        <f>IF(SUM('Current Rations'!C18:L18)&gt;0,IF(Feeds!J17=TRUE,(IF(Feeds!K17=FALSE,H20,"")),""),"")</f>
        <v/>
      </c>
      <c r="M20" s="36" t="str">
        <f>IF(SUM('Current Rations'!C18:L18)&gt;0,IF(Feeds!J17=TRUE,(IF(Feeds!K17=TRUE,H20,"")),""),"")</f>
        <v/>
      </c>
      <c r="N20" s="36" t="str">
        <f>IF(SUM('Current Rations'!D18:O18)&gt;0,IF(Feeds!J17=FALSE,H20,""),"")</f>
        <v/>
      </c>
      <c r="O20" s="217" t="str">
        <f>IF(SUM('Current Rations'!C95:L95)&gt;0,((SUMPRODUCT('Current Rations'!C95:L95,'Current Rations'!C$27:L$27)/(SUMPRODUCT('Current Rations'!C95:L95,'Current Rations'!C$27:L$27)+SUMPRODUCT('Current Rations'!C120:L120,'Current Rations'!C$27:L$27)+SUMPRODUCT('Current Rations'!C145:L145,'Current Rations'!C$27:L$27))*H20)),"")</f>
        <v/>
      </c>
      <c r="P20" s="36" t="str">
        <f>IF(SUM('Current Rations'!C120:L120)&gt;0,((SUMPRODUCT('Current Rations'!C120:L120,'Current Rations'!C$27:L$27)/(SUMPRODUCT('Current Rations'!C95:L95,'Current Rations'!C$27:L$27)+SUMPRODUCT('Current Rations'!C120:L120,'Current Rations'!C$27:L$27)+SUMPRODUCT('Current Rations'!C145:L145,'Current Rations'!C$27:L$27))*H20)),"")</f>
        <v/>
      </c>
      <c r="Q20" s="36" t="str">
        <f>IF(SUM('Current Rations'!C145:L145)&gt;0,((SUMPRODUCT('Current Rations'!C145:L145,'Current Rations'!C$27:L$27)/(SUMPRODUCT('Current Rations'!C95:L95,'Current Rations'!C$27:L$27)+SUMPRODUCT('Current Rations'!C120:L120,'Current Rations'!C$27:L$27)+SUMPRODUCT('Current Rations'!C145:L145,'Current Rations'!C$27:L$27))*H20)),"")</f>
        <v/>
      </c>
    </row>
    <row r="21" spans="1:22" x14ac:dyDescent="0.2">
      <c r="A21" s="29" t="str">
        <f>IF(Feeds!A18&gt;0,Feeds!A18,"")</f>
        <v/>
      </c>
      <c r="B21" s="37" t="str">
        <f>IF(SUM('Current Rations'!C19:L19)&gt;0,(SUMPRODUCT(('Current Rations'!C19:L19/Feeds!E18),'Current Rations'!C$27:L$27,'Current Rations'!C$28:L$28)/Feeds!C18),"")</f>
        <v/>
      </c>
      <c r="C21" s="34" t="str">
        <f>IF(SUM('Current Rations'!C19:L19)&gt;0,Feeds!B18,"")</f>
        <v/>
      </c>
      <c r="D21" s="35" t="str">
        <f>IF(SUM('Current Rations'!C19:L19)&gt;0,(B21/(1-Feeds!F18))-'Current Rations Cost Summary'!B21,"")</f>
        <v/>
      </c>
      <c r="E21" s="36" t="str">
        <f>IF(SUM('Current Rations'!C19:L19)&gt;0,D21*Feeds!D18,"")</f>
        <v/>
      </c>
      <c r="F21" s="37" t="str">
        <f>IF(SUM('Current Rations'!C19:L19)&gt;0,(SUM(D21,B21)),"")</f>
        <v/>
      </c>
      <c r="G21" s="38" t="str">
        <f>IF(SUM('Current Rations'!C19:L19)&gt;0,Feeds!B18,"")</f>
        <v/>
      </c>
      <c r="H21" s="36" t="str">
        <f>IF(SUM('Current Rations'!C19:L19)&gt;0,F21*Feeds!D18,"")</f>
        <v/>
      </c>
      <c r="I21" s="36" t="str">
        <f>IF(SUM('Current Rations'!C19:L19)&gt;0,IF(Feeds!K18=TRUE,H21,""),"")</f>
        <v/>
      </c>
      <c r="J21" s="36" t="str">
        <f>IF(SUM('Current Rations'!C19:L19)&gt;0,IF(Feeds!K18=FALSE,H21,""),"")</f>
        <v/>
      </c>
      <c r="K21" s="36" t="str">
        <f>IF(SUM('Current Rations'!C19:L19)&gt;0,IF(Feeds!J18=TRUE,H21,""),"")</f>
        <v/>
      </c>
      <c r="L21" s="36" t="str">
        <f>IF(SUM('Current Rations'!C19:L19)&gt;0,IF(Feeds!J18=TRUE,(IF(Feeds!K18=FALSE,H21,"")),""),"")</f>
        <v/>
      </c>
      <c r="M21" s="36" t="str">
        <f>IF(SUM('Current Rations'!C19:L19)&gt;0,IF(Feeds!J18=TRUE,(IF(Feeds!K18=TRUE,H21,"")),""),"")</f>
        <v/>
      </c>
      <c r="N21" s="36" t="str">
        <f>IF(SUM('Current Rations'!D19:O19)&gt;0,IF(Feeds!J18=FALSE,H21,""),"")</f>
        <v/>
      </c>
      <c r="O21" s="217" t="str">
        <f>IF(SUM('Current Rations'!C96:L96)&gt;0,((SUMPRODUCT('Current Rations'!C96:L96,'Current Rations'!C$27:L$27)/(SUMPRODUCT('Current Rations'!C96:L96,'Current Rations'!C$27:L$27)+SUMPRODUCT('Current Rations'!C121:L121,'Current Rations'!C$27:L$27)+SUMPRODUCT('Current Rations'!C146:L146,'Current Rations'!C$27:L$27))*H21)),"")</f>
        <v/>
      </c>
      <c r="P21" s="219" t="str">
        <f>IF(SUM('Current Rations'!C121:L121)&gt;0,((SUMPRODUCT('Current Rations'!C121:L121,'Current Rations'!C$27:L$27)/(SUMPRODUCT('Current Rations'!C96:L96,'Current Rations'!C$27:L$27)+SUMPRODUCT('Current Rations'!C121:L121,'Current Rations'!C$27:L$27)+SUMPRODUCT('Current Rations'!C146:L146,'Current Rations'!C$27:L$27))*H21)),"")</f>
        <v/>
      </c>
      <c r="Q21" s="36" t="str">
        <f>IF(SUM('Current Rations'!C146:L146)&gt;0,((SUMPRODUCT('Current Rations'!C146:L146,'Current Rations'!C$27:L$27)/(SUMPRODUCT('Current Rations'!C96:L96,'Current Rations'!C$27:L$27)+SUMPRODUCT('Current Rations'!C121:L121,'Current Rations'!C$27:L$27)+SUMPRODUCT('Current Rations'!C146:L146,'Current Rations'!C$27:L$27))*H21)),"")</f>
        <v/>
      </c>
    </row>
    <row r="22" spans="1:22" x14ac:dyDescent="0.2">
      <c r="A22" s="29" t="str">
        <f>IF(Feeds!A19&gt;0,Feeds!A19,"")</f>
        <v/>
      </c>
      <c r="B22" s="37" t="str">
        <f>IF(SUM('Current Rations'!C20:L20)&gt;0,(SUMPRODUCT(('Current Rations'!C20:L20/Feeds!E19),'Current Rations'!C$27:L$27,'Current Rations'!C$28:L$28)/Feeds!C19),"")</f>
        <v/>
      </c>
      <c r="C22" s="34" t="str">
        <f>IF(SUM('Current Rations'!C20:L20)&gt;0,Feeds!B19,"")</f>
        <v/>
      </c>
      <c r="D22" s="35" t="str">
        <f>IF(SUM('Current Rations'!C20:L20)&gt;0,(B22/(1-Feeds!F19))-'Current Rations Cost Summary'!B22,"")</f>
        <v/>
      </c>
      <c r="E22" s="36" t="str">
        <f>IF(SUM('Current Rations'!C20:L20)&gt;0,D22*Feeds!D19,"")</f>
        <v/>
      </c>
      <c r="F22" s="37" t="str">
        <f>IF(SUM('Current Rations'!C20:L20)&gt;0,(SUM(D22,B22)),"")</f>
        <v/>
      </c>
      <c r="G22" s="38" t="str">
        <f>IF(SUM('Current Rations'!C20:L20)&gt;0,Feeds!B19,"")</f>
        <v/>
      </c>
      <c r="H22" s="36" t="str">
        <f>IF(SUM('Current Rations'!C20:L20)&gt;0,F22*Feeds!D19,"")</f>
        <v/>
      </c>
      <c r="I22" s="36" t="str">
        <f>IF(SUM('Current Rations'!C20:L20)&gt;0,IF(Feeds!K19=TRUE,H22,""),"")</f>
        <v/>
      </c>
      <c r="J22" s="36" t="str">
        <f>IF(SUM('Current Rations'!C20:L20)&gt;0,IF(Feeds!K19=FALSE,H22,""),"")</f>
        <v/>
      </c>
      <c r="K22" s="36" t="str">
        <f>IF(SUM('Current Rations'!C20:L20)&gt;0,IF(Feeds!J19=TRUE,H22,""),"")</f>
        <v/>
      </c>
      <c r="L22" s="36" t="str">
        <f>IF(SUM('Current Rations'!C20:L20)&gt;0,IF(Feeds!J19=TRUE,(IF(Feeds!K19=FALSE,H22,"")),""),"")</f>
        <v/>
      </c>
      <c r="M22" s="36" t="str">
        <f>IF(SUM('Current Rations'!C20:L20)&gt;0,IF(Feeds!J19=TRUE,(IF(Feeds!K19=TRUE,H22,"")),""),"")</f>
        <v/>
      </c>
      <c r="N22" s="36" t="str">
        <f>IF(SUM('Current Rations'!D20:O20)&gt;0,IF(Feeds!J19=FALSE,H22,""),"")</f>
        <v/>
      </c>
      <c r="O22" s="36" t="str">
        <f>IF(SUM('Current Rations'!C97:L97)&gt;0,((SUMPRODUCT('Current Rations'!C97:L97,'Current Rations'!C$27:L$27)/(SUMPRODUCT('Current Rations'!C97:L97,'Current Rations'!C$27:L$27)+SUMPRODUCT('Current Rations'!C122:L122,'Current Rations'!C$27:L$27)+SUMPRODUCT('Current Rations'!C147:L147,'Current Rations'!C$27:L$27))*H22)),"")</f>
        <v/>
      </c>
      <c r="P22" s="36" t="str">
        <f>IF(SUM('Current Rations'!C122:L122)&gt;0,((SUMPRODUCT('Current Rations'!C122:L122,'Current Rations'!C$27:L$27)/(SUMPRODUCT('Current Rations'!C97:L97,'Current Rations'!C$27:L$27)+SUMPRODUCT('Current Rations'!C122:L122,'Current Rations'!C$27:L$27)+SUMPRODUCT('Current Rations'!C147:L147,'Current Rations'!C$27:L$27))*H22)),"")</f>
        <v/>
      </c>
      <c r="Q22" s="219" t="str">
        <f>IF(SUM('Current Rations'!C147:L147)&gt;0,((SUMPRODUCT('Current Rations'!C147:L147,'Current Rations'!C$27:L$27)/(SUMPRODUCT('Current Rations'!C97:L97,'Current Rations'!C$27:L$27)+SUMPRODUCT('Current Rations'!C122:L122,'Current Rations'!C$27:L$27)+SUMPRODUCT('Current Rations'!C147:L147,'Current Rations'!C$27:L$27))*H22)),"")</f>
        <v/>
      </c>
    </row>
    <row r="23" spans="1:22" x14ac:dyDescent="0.2">
      <c r="A23" s="29" t="str">
        <f>IF(Feeds!A20&gt;0,Feeds!A20,"")</f>
        <v/>
      </c>
      <c r="B23" s="37" t="str">
        <f>IF(SUM('Current Rations'!C21:L21)&gt;0,(SUMPRODUCT(('Current Rations'!C21:L21/Feeds!E20),'Current Rations'!C$27:L$27,'Current Rations'!C$28:L$28)/Feeds!C20),"")</f>
        <v/>
      </c>
      <c r="C23" s="34" t="str">
        <f>IF(SUM('Current Rations'!C21:L21)&gt;0,Feeds!B20,"")</f>
        <v/>
      </c>
      <c r="D23" s="35" t="str">
        <f>IF(SUM('Current Rations'!C21:L21)&gt;0,(B23/(1-Feeds!F20))-'Current Rations Cost Summary'!B23,"")</f>
        <v/>
      </c>
      <c r="E23" s="36" t="str">
        <f>IF(SUM('Current Rations'!C21:L21)&gt;0,D23*Feeds!D20,"")</f>
        <v/>
      </c>
      <c r="F23" s="37" t="str">
        <f>IF(SUM('Current Rations'!C21:L21)&gt;0,(SUM(D23,B23)),"")</f>
        <v/>
      </c>
      <c r="G23" s="38" t="str">
        <f>IF(SUM('Current Rations'!C21:L21)&gt;0,Feeds!B20,"")</f>
        <v/>
      </c>
      <c r="H23" s="36" t="str">
        <f>IF(SUM('Current Rations'!C21:L21)&gt;0,F23*Feeds!D20,"")</f>
        <v/>
      </c>
      <c r="I23" s="36" t="str">
        <f>IF(SUM('Current Rations'!C21:L21)&gt;0,IF(Feeds!K20=TRUE,H23,""),"")</f>
        <v/>
      </c>
      <c r="J23" s="36" t="str">
        <f>IF(SUM('Current Rations'!C21:L21)&gt;0,IF(Feeds!K20=FALSE,H23,""),"")</f>
        <v/>
      </c>
      <c r="K23" s="36" t="str">
        <f>IF(SUM('Current Rations'!C21:L21)&gt;0,IF(Feeds!J20=TRUE,H23,""),"")</f>
        <v/>
      </c>
      <c r="L23" s="36" t="str">
        <f>IF(SUM('Current Rations'!C21:L21)&gt;0,IF(Feeds!J20=TRUE,(IF(Feeds!K20=FALSE,H23,"")),""),"")</f>
        <v/>
      </c>
      <c r="M23" s="36" t="str">
        <f>IF(SUM('Current Rations'!C21:L21)&gt;0,IF(Feeds!J20=TRUE,(IF(Feeds!K20=TRUE,H23,"")),""),"")</f>
        <v/>
      </c>
      <c r="N23" s="36" t="str">
        <f>IF(SUM('Current Rations'!D21:O21)&gt;0,IF(Feeds!J20=FALSE,H23,""),"")</f>
        <v/>
      </c>
      <c r="O23" s="36" t="str">
        <f>IF(SUM('Current Rations'!C98:L98)&gt;0,((SUMPRODUCT('Current Rations'!C98:L98,'Current Rations'!C$27:L$27)/(SUMPRODUCT('Current Rations'!C98:L98,'Current Rations'!C$27:L$27)+SUMPRODUCT('Current Rations'!C123:L123,'Current Rations'!C$27:L$27)+SUMPRODUCT('Current Rations'!C148:L148,'Current Rations'!C$27:L$27))*H23)),"")</f>
        <v/>
      </c>
      <c r="P23" s="219" t="str">
        <f>IF(SUM('Current Rations'!C123:L123)&gt;0,((SUMPRODUCT('Current Rations'!C123:L123,'Current Rations'!C$27:L$27)/(SUMPRODUCT('Current Rations'!C98:L98,'Current Rations'!C$27:L$27)+SUMPRODUCT('Current Rations'!C123:L123,'Current Rations'!C$27:L$27)+SUMPRODUCT('Current Rations'!C148:L148,'Current Rations'!C$27:L$27))*H23)),"")</f>
        <v/>
      </c>
      <c r="Q23" s="217" t="str">
        <f>IF(SUM('Current Rations'!C148:L148)&gt;0,((SUMPRODUCT('Current Rations'!C148:L148,'Current Rations'!C$27:L$27)/(SUMPRODUCT('Current Rations'!C98:L98,'Current Rations'!C$27:L$27)+SUMPRODUCT('Current Rations'!C123:L123,'Current Rations'!C$27:L$27)+SUMPRODUCT('Current Rations'!C148:L148,'Current Rations'!C$27:L$27))*H23)),"")</f>
        <v/>
      </c>
    </row>
    <row r="24" spans="1:22" x14ac:dyDescent="0.2">
      <c r="A24" s="29" t="str">
        <f>IF(Feeds!A21&gt;0,Feeds!A21,"")</f>
        <v/>
      </c>
      <c r="B24" s="37" t="str">
        <f>IF(SUM('Current Rations'!C22:L22)&gt;0,(SUMPRODUCT(('Current Rations'!C22:L22/Feeds!E21),'Current Rations'!C$27:L$27,'Current Rations'!C$28:L$28)/Feeds!C21),"")</f>
        <v/>
      </c>
      <c r="C24" s="34" t="str">
        <f>IF(SUM('Current Rations'!C22:L22)&gt;0,Feeds!B21,"")</f>
        <v/>
      </c>
      <c r="D24" s="35" t="str">
        <f>IF(SUM('Current Rations'!C22:L22)&gt;0,(B24/(1-Feeds!F21))-'Current Rations Cost Summary'!B24,"")</f>
        <v/>
      </c>
      <c r="E24" s="36" t="str">
        <f>IF(SUM('Current Rations'!C22:L22)&gt;0,D24*Feeds!D21,"")</f>
        <v/>
      </c>
      <c r="F24" s="37" t="str">
        <f>IF(SUM('Current Rations'!C22:L22)&gt;0,(SUM(D24,B24)),"")</f>
        <v/>
      </c>
      <c r="G24" s="38" t="str">
        <f>IF(SUM('Current Rations'!C22:L22)&gt;0,Feeds!B21,"")</f>
        <v/>
      </c>
      <c r="H24" s="36" t="str">
        <f>IF(SUM('Current Rations'!C22:L22)&gt;0,F24*Feeds!D21,"")</f>
        <v/>
      </c>
      <c r="I24" s="36" t="str">
        <f>IF(SUM('Current Rations'!C22:L22)&gt;0,IF(Feeds!K21=TRUE,H24,""),"")</f>
        <v/>
      </c>
      <c r="J24" s="36" t="str">
        <f>IF(SUM('Current Rations'!C22:L22)&gt;0,IF(Feeds!K21=FALSE,H24,""),"")</f>
        <v/>
      </c>
      <c r="K24" s="36" t="str">
        <f>IF(SUM('Current Rations'!C22:L22)&gt;0,IF(Feeds!J21=TRUE,H24,""),"")</f>
        <v/>
      </c>
      <c r="L24" s="36" t="str">
        <f>IF(SUM('Current Rations'!C22:L22)&gt;0,IF(Feeds!J21=TRUE,(IF(Feeds!K21=FALSE,H24,"")),""),"")</f>
        <v/>
      </c>
      <c r="M24" s="36" t="str">
        <f>IF(SUM('Current Rations'!C22:L22)&gt;0,IF(Feeds!J21=TRUE,(IF(Feeds!K21=TRUE,H24,"")),""),"")</f>
        <v/>
      </c>
      <c r="N24" s="36" t="str">
        <f>IF(SUM('Current Rations'!D22:O22)&gt;0,IF(Feeds!J21=FALSE,H24,""),"")</f>
        <v/>
      </c>
      <c r="O24" s="219" t="str">
        <f>IF(SUM('Current Rations'!C99:L99)&gt;0,((SUMPRODUCT('Current Rations'!C99:L99,'Current Rations'!C$27:L$27)/(SUMPRODUCT('Current Rations'!C99:L99,'Current Rations'!C$27:L$27)+SUMPRODUCT('Current Rations'!C124:L124,'Current Rations'!C$27:L$27)+SUMPRODUCT('Current Rations'!C149:L149,'Current Rations'!C$27:L$27))*H24)),"")</f>
        <v/>
      </c>
      <c r="P24" s="36" t="str">
        <f>IF(SUM('Current Rations'!C124:L124)&gt;0,((SUMPRODUCT('Current Rations'!C124:L124,'Current Rations'!C$27:L$27)/(SUMPRODUCT('Current Rations'!C99:L99,'Current Rations'!C$27:L$27)+SUMPRODUCT('Current Rations'!C124:L124,'Current Rations'!C$27:L$27)+SUMPRODUCT('Current Rations'!C149:L149,'Current Rations'!C$27:L$27))*H24)),"")</f>
        <v/>
      </c>
      <c r="Q24" s="36" t="str">
        <f>IF(SUM('Current Rations'!C149:L149)&gt;0,((SUMPRODUCT('Current Rations'!C149:L149,'Current Rations'!C$27:L$27)/(SUMPRODUCT('Current Rations'!C99:L99,'Current Rations'!C$27:L$27)+SUMPRODUCT('Current Rations'!C124:L124,'Current Rations'!C$27:L$27)+SUMPRODUCT('Current Rations'!C149:L149,'Current Rations'!C$27:L$27))*H24)),"")</f>
        <v/>
      </c>
    </row>
    <row r="25" spans="1:22" ht="13.5" thickBot="1" x14ac:dyDescent="0.25">
      <c r="A25" s="29" t="str">
        <f>IF(Feeds!A22&gt;0,Feeds!A22,"")</f>
        <v/>
      </c>
      <c r="B25" s="42" t="str">
        <f>IF(SUM('Current Rations'!C23:L23)&gt;0,(SUMPRODUCT(('Current Rations'!C23:L23/Feeds!E22),'Current Rations'!C$27:L$27,'Current Rations'!C$28:L$28)/Feeds!C22),"")</f>
        <v/>
      </c>
      <c r="C25" s="39" t="str">
        <f>IF(SUM('Current Rations'!C23:L23)&gt;0,Feeds!B22,"")</f>
        <v/>
      </c>
      <c r="D25" s="40" t="str">
        <f>IF(SUM('Current Rations'!C23:L23)&gt;0,(B25/(1-Feeds!F22))-'Current Rations Cost Summary'!B25,"")</f>
        <v/>
      </c>
      <c r="E25" s="41" t="str">
        <f>IF(SUM('Current Rations'!C23:L23)&gt;0,D25*Feeds!D22,"")</f>
        <v/>
      </c>
      <c r="F25" s="42" t="str">
        <f>IF(SUM('Current Rations'!C23:L23)&gt;0,(SUM(D25,B25)),"")</f>
        <v/>
      </c>
      <c r="G25" s="39" t="str">
        <f>IF(SUM('Current Rations'!C23:L23)&gt;0,Feeds!B22,"")</f>
        <v/>
      </c>
      <c r="H25" s="41" t="str">
        <f>IF(SUM('Current Rations'!C23:L23)&gt;0,F25*Feeds!D22,"")</f>
        <v/>
      </c>
      <c r="I25" s="41" t="str">
        <f>IF(SUM('Current Rations'!C23:L23)&gt;0,IF(Feeds!K22=TRUE,H25,""),"")</f>
        <v/>
      </c>
      <c r="J25" s="41" t="str">
        <f>IF(SUM('Current Rations'!C23:L23)&gt;0,IF(Feeds!K22=FALSE,H25,""),"")</f>
        <v/>
      </c>
      <c r="K25" s="41" t="str">
        <f>IF(SUM('Current Rations'!C23:L23)&gt;0,IF(Feeds!J22=TRUE,H25,""),"")</f>
        <v/>
      </c>
      <c r="L25" s="41" t="str">
        <f>IF(SUM('Current Rations'!C23:L23)&gt;0,IF(Feeds!J22=TRUE,(IF(Feeds!K22=FALSE,H25,"")),""),"")</f>
        <v/>
      </c>
      <c r="M25" s="41" t="str">
        <f>IF(SUM('Current Rations'!C23:L23)&gt;0,IF(Feeds!J22=TRUE,(IF(Feeds!K22=TRUE,H25,"")),""),"")</f>
        <v/>
      </c>
      <c r="N25" s="41" t="str">
        <f>IF(SUM('Current Rations'!D23:O23)&gt;0,IF(Feeds!J22=FALSE,H25,""),"")</f>
        <v/>
      </c>
      <c r="O25" s="41" t="str">
        <f>IF(SUM('Current Rations'!C100:L100)&gt;0,((SUMPRODUCT('Current Rations'!C100:L100,'Current Rations'!C$27:L$27)/(SUMPRODUCT('Current Rations'!C100:L100,'Current Rations'!C$27:L$27)+SUMPRODUCT('Current Rations'!C125:L125,'Current Rations'!C$27:L$27)+SUMPRODUCT('Current Rations'!C150:L150,'Current Rations'!C$27:L$27))*H25)),"")</f>
        <v/>
      </c>
      <c r="P25" s="218" t="str">
        <f>IF(SUM('Current Rations'!C125:L125)&gt;0,((SUMPRODUCT('Current Rations'!C125:L125,'Current Rations'!C$27:L$27)/(SUMPRODUCT('Current Rations'!C100:L100,'Current Rations'!C$27:L$27)+SUMPRODUCT('Current Rations'!C125:L125,'Current Rations'!C$27:L$27)+SUMPRODUCT('Current Rations'!C150:L150,'Current Rations'!C$27:L$27))*H25)),"")</f>
        <v/>
      </c>
      <c r="Q25" s="218" t="str">
        <f>IF(SUM('Current Rations'!C150:L150)&gt;0,((SUMPRODUCT('Current Rations'!C150:L150,'Current Rations'!C$27:L$27)/(SUMPRODUCT('Current Rations'!C100:L100,'Current Rations'!C$27:L$27)+SUMPRODUCT('Current Rations'!C125:L125,'Current Rations'!C$27:L$27)+SUMPRODUCT('Current Rations'!C150:L150,'Current Rations'!C$27:L$27))*H25)),"")</f>
        <v/>
      </c>
    </row>
    <row r="26" spans="1:22" x14ac:dyDescent="0.2">
      <c r="A26" s="29" t="s">
        <v>21</v>
      </c>
      <c r="B26" s="314">
        <f>'Current Rations'!P46</f>
        <v>0</v>
      </c>
      <c r="C26" s="314"/>
      <c r="D26" s="43"/>
      <c r="E26" s="44"/>
      <c r="F26" s="44"/>
      <c r="G26" s="29" t="s">
        <v>15</v>
      </c>
      <c r="H26" s="119">
        <f t="shared" ref="H26:N26" si="0">SUM(H6:H25)</f>
        <v>0</v>
      </c>
      <c r="I26" s="119">
        <f t="shared" si="0"/>
        <v>0</v>
      </c>
      <c r="J26" s="119">
        <f t="shared" si="0"/>
        <v>0</v>
      </c>
      <c r="K26" s="119">
        <f t="shared" si="0"/>
        <v>0</v>
      </c>
      <c r="L26" s="119">
        <f t="shared" si="0"/>
        <v>0</v>
      </c>
      <c r="M26" s="119">
        <f t="shared" si="0"/>
        <v>0</v>
      </c>
      <c r="N26" s="119">
        <f t="shared" si="0"/>
        <v>0</v>
      </c>
      <c r="O26" s="119">
        <f>SUM(O6:O25)</f>
        <v>0</v>
      </c>
      <c r="P26" s="119">
        <f>SUM(P6:P25)</f>
        <v>0</v>
      </c>
      <c r="Q26" s="119">
        <f>SUM(Q6:Q25)</f>
        <v>0</v>
      </c>
    </row>
    <row r="27" spans="1:22" x14ac:dyDescent="0.2">
      <c r="A27" s="29" t="s">
        <v>22</v>
      </c>
      <c r="B27" s="315">
        <f>'Current Rations'!M57</f>
        <v>0</v>
      </c>
      <c r="C27" s="315"/>
      <c r="D27" s="45"/>
      <c r="E27" s="44"/>
      <c r="F27" s="44"/>
      <c r="G27" s="29" t="s">
        <v>16</v>
      </c>
      <c r="H27" s="120">
        <f t="shared" ref="H27:N27" si="1">H26/12</f>
        <v>0</v>
      </c>
      <c r="I27" s="120">
        <f t="shared" si="1"/>
        <v>0</v>
      </c>
      <c r="J27" s="120">
        <f t="shared" si="1"/>
        <v>0</v>
      </c>
      <c r="K27" s="120">
        <f t="shared" si="1"/>
        <v>0</v>
      </c>
      <c r="L27" s="120">
        <f t="shared" si="1"/>
        <v>0</v>
      </c>
      <c r="M27" s="120">
        <f t="shared" si="1"/>
        <v>0</v>
      </c>
      <c r="N27" s="120">
        <f t="shared" si="1"/>
        <v>0</v>
      </c>
      <c r="O27" s="120">
        <f>O26/12</f>
        <v>0</v>
      </c>
      <c r="P27" s="120">
        <f>P26/12</f>
        <v>0</v>
      </c>
      <c r="Q27" s="120">
        <f>Q26/12</f>
        <v>0</v>
      </c>
    </row>
    <row r="28" spans="1:22" x14ac:dyDescent="0.2">
      <c r="D28" s="45"/>
      <c r="E28" s="44"/>
      <c r="F28" s="44"/>
      <c r="G28" s="29" t="s">
        <v>14</v>
      </c>
      <c r="H28" s="121" t="str">
        <f>IF(H26&gt;0,(H26/(SUMPRODUCT('Current Rations'!$C27:$L27,'Current Rations'!$C29:$L29)*365))*100,"")</f>
        <v/>
      </c>
      <c r="I28" s="121" t="str">
        <f>IF(I26&gt;0,(I26/(SUMPRODUCT('Current Rations'!$C27:$L27,'Current Rations'!$C29:$L29)*365))*100,"")</f>
        <v/>
      </c>
      <c r="J28" s="121" t="str">
        <f>IF(J26&gt;0,(J26/(SUMPRODUCT('Current Rations'!$C27:$L27,'Current Rations'!$C29:$L29)*365))*100,"")</f>
        <v/>
      </c>
      <c r="K28" s="121" t="str">
        <f>IF(K26&gt;0,(K26/(SUMPRODUCT('Current Rations'!$C27:$L27,'Current Rations'!$C29:$L29)*365))*100,"")</f>
        <v/>
      </c>
      <c r="L28" s="121" t="str">
        <f>IF(L26&gt;0,(L26/(SUMPRODUCT('Current Rations'!$C27:$L27,'Current Rations'!$C29:$L29)*365))*100,"")</f>
        <v/>
      </c>
      <c r="M28" s="121" t="str">
        <f>IF(M26&gt;0,(M26/(SUMPRODUCT('Current Rations'!$C27:$L27,'Current Rations'!$C29:$L29)*365))*100,"")</f>
        <v/>
      </c>
      <c r="N28" s="121" t="str">
        <f>IF(N26&gt;0,(N26/(SUMPRODUCT('Current Rations'!$C27:$L27,'Current Rations'!$C29:$L29)*365))*100,"")</f>
        <v/>
      </c>
      <c r="O28" s="121" t="str">
        <f>IF(O26&gt;0,(O26/(SUMPRODUCT('Current Rations'!$C27:$L27,'Current Rations'!$C29:$L29)*365))*100,"")</f>
        <v/>
      </c>
      <c r="P28" s="121" t="str">
        <f>IF(P26&gt;0,(P26/(SUMPRODUCT('Current Rations'!$C27:$L27,'Current Rations'!$C29:$L29)*365))*100,"")</f>
        <v/>
      </c>
      <c r="Q28" s="121" t="str">
        <f>IF(Q26&gt;0,(Q26/(SUMPRODUCT('Current Rations'!$C27:$L27,'Current Rations'!$C29:$L29)*365))*100,"")</f>
        <v/>
      </c>
    </row>
    <row r="29" spans="1:22" ht="13.5" thickBot="1" x14ac:dyDescent="0.25">
      <c r="E29" s="44"/>
      <c r="F29" s="46"/>
      <c r="G29" s="29" t="s">
        <v>23</v>
      </c>
      <c r="H29" s="122" t="str">
        <f>IF($B$27&gt;0,H26/$B$27,"")</f>
        <v/>
      </c>
      <c r="I29" s="122" t="str">
        <f t="shared" ref="I29:Q29" si="2">IF($B$27&gt;0,I26/$B$27,"")</f>
        <v/>
      </c>
      <c r="J29" s="122" t="str">
        <f t="shared" si="2"/>
        <v/>
      </c>
      <c r="K29" s="122" t="str">
        <f t="shared" si="2"/>
        <v/>
      </c>
      <c r="L29" s="122" t="str">
        <f t="shared" si="2"/>
        <v/>
      </c>
      <c r="M29" s="122" t="str">
        <f t="shared" si="2"/>
        <v/>
      </c>
      <c r="N29" s="122" t="str">
        <f t="shared" si="2"/>
        <v/>
      </c>
      <c r="O29" s="122" t="str">
        <f t="shared" si="2"/>
        <v/>
      </c>
      <c r="P29" s="122" t="str">
        <f t="shared" ref="P29" si="3">IF($B$27&gt;0,P26/$B$27,"")</f>
        <v/>
      </c>
      <c r="Q29" s="122" t="str">
        <f t="shared" si="2"/>
        <v/>
      </c>
    </row>
    <row r="30" spans="1:22" x14ac:dyDescent="0.2">
      <c r="E30" s="1"/>
      <c r="F30" s="1"/>
      <c r="G30" s="1"/>
      <c r="H30" s="1"/>
      <c r="I30" s="1"/>
      <c r="J30" s="1"/>
      <c r="K30" s="1"/>
      <c r="L30" s="1"/>
      <c r="M30" s="1"/>
    </row>
    <row r="32" spans="1:22" x14ac:dyDescent="0.2">
      <c r="G32" s="165"/>
      <c r="U32" s="72"/>
      <c r="V32" s="167"/>
    </row>
    <row r="33" spans="7:21" x14ac:dyDescent="0.2">
      <c r="G33" s="165"/>
      <c r="U33" s="72"/>
    </row>
    <row r="34" spans="7:21" x14ac:dyDescent="0.2">
      <c r="G34" s="165"/>
      <c r="U34" s="72"/>
    </row>
    <row r="35" spans="7:21" x14ac:dyDescent="0.2">
      <c r="G35" s="165"/>
      <c r="U35" s="72"/>
    </row>
    <row r="36" spans="7:21" x14ac:dyDescent="0.2">
      <c r="G36" s="165"/>
      <c r="H36" s="166"/>
      <c r="I36" s="166"/>
      <c r="J36" s="166"/>
      <c r="K36" s="166"/>
      <c r="L36" s="166"/>
      <c r="M36" s="166"/>
      <c r="N36" s="166"/>
      <c r="O36" s="166"/>
      <c r="P36" s="166"/>
      <c r="Q36" s="166"/>
      <c r="R36" s="166"/>
      <c r="U36" s="72"/>
    </row>
    <row r="37" spans="7:21" x14ac:dyDescent="0.2">
      <c r="G37" s="165"/>
      <c r="H37" s="172"/>
      <c r="I37" s="172"/>
      <c r="J37" s="172"/>
      <c r="K37" s="172"/>
      <c r="L37" s="172"/>
      <c r="M37" s="172"/>
      <c r="N37" s="172"/>
      <c r="O37" s="172"/>
      <c r="P37" s="172"/>
      <c r="Q37" s="172"/>
      <c r="R37" s="172"/>
      <c r="U37" s="72"/>
    </row>
    <row r="38" spans="7:21" x14ac:dyDescent="0.2">
      <c r="G38" s="20"/>
      <c r="T38" s="167"/>
      <c r="U38" s="72"/>
    </row>
  </sheetData>
  <sheetProtection password="D040" sheet="1" objects="1" scenarios="1"/>
  <mergeCells count="5">
    <mergeCell ref="B5:C5"/>
    <mergeCell ref="F5:G5"/>
    <mergeCell ref="A3:Q3"/>
    <mergeCell ref="B26:C26"/>
    <mergeCell ref="B27:C27"/>
  </mergeCells>
  <phoneticPr fontId="0" type="noConversion"/>
  <pageMargins left="0.4" right="0.35" top="1" bottom="1" header="0.5" footer="0.5"/>
  <pageSetup scale="61"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X34"/>
  <sheetViews>
    <sheetView showGridLines="0" zoomScaleNormal="125" workbookViewId="0">
      <selection activeCell="B3" sqref="B3"/>
    </sheetView>
  </sheetViews>
  <sheetFormatPr defaultRowHeight="12.75" x14ac:dyDescent="0.2"/>
  <cols>
    <col min="1" max="1" width="18.5703125" style="17" bestFit="1" customWidth="1"/>
    <col min="2" max="2" width="15.42578125" style="163" customWidth="1"/>
    <col min="3" max="3" width="9.140625" style="17"/>
    <col min="4" max="4" width="5.140625" style="17" bestFit="1" customWidth="1"/>
    <col min="5" max="5" width="9.140625" style="17"/>
    <col min="6" max="6" width="9.7109375" style="17" customWidth="1"/>
    <col min="7" max="7" width="11.42578125" style="17" customWidth="1"/>
    <col min="8" max="8" width="11.28515625" style="17" customWidth="1"/>
    <col min="9" max="9" width="22.42578125" style="17" customWidth="1"/>
    <col min="10" max="10" width="14.85546875" style="17" bestFit="1" customWidth="1"/>
    <col min="11" max="11" width="5.85546875" style="17" hidden="1" customWidth="1"/>
    <col min="12" max="12" width="25" style="17" hidden="1" customWidth="1"/>
    <col min="13" max="13" width="8" style="17" hidden="1" customWidth="1"/>
    <col min="14" max="14" width="9.28515625" style="17" hidden="1" customWidth="1"/>
    <col min="15" max="15" width="8.28515625" style="17" hidden="1" customWidth="1"/>
    <col min="16" max="17" width="8.42578125" style="17" hidden="1" customWidth="1"/>
    <col min="18" max="18" width="9.42578125" style="17" hidden="1" customWidth="1"/>
    <col min="19" max="19" width="25" style="17" hidden="1" customWidth="1"/>
    <col min="20" max="20" width="24.7109375" style="17" hidden="1" customWidth="1"/>
    <col min="21" max="21" width="24" style="17" hidden="1" customWidth="1"/>
    <col min="22" max="22" width="23.7109375" style="17" hidden="1" customWidth="1"/>
    <col min="23" max="23" width="17" style="17" hidden="1" customWidth="1"/>
    <col min="24" max="24" width="16" style="17" hidden="1" customWidth="1"/>
    <col min="25" max="26" width="0" style="17" hidden="1" customWidth="1"/>
    <col min="27" max="16384" width="9.140625" style="17"/>
  </cols>
  <sheetData>
    <row r="1" spans="1:24" ht="31.9" customHeight="1" x14ac:dyDescent="0.2">
      <c r="F1" s="162" t="s">
        <v>145</v>
      </c>
    </row>
    <row r="2" spans="1:24" s="3" customFormat="1" ht="41.45" customHeight="1" thickBot="1" x14ac:dyDescent="0.25">
      <c r="A2" s="26" t="s">
        <v>0</v>
      </c>
      <c r="B2" s="3" t="s">
        <v>148</v>
      </c>
      <c r="C2" s="305" t="s">
        <v>83</v>
      </c>
      <c r="D2" s="305"/>
      <c r="E2" s="3" t="s">
        <v>84</v>
      </c>
      <c r="F2" s="3" t="s">
        <v>26</v>
      </c>
      <c r="G2" s="3" t="s">
        <v>144</v>
      </c>
      <c r="H2" s="3" t="s">
        <v>28</v>
      </c>
      <c r="I2" s="3" t="s">
        <v>129</v>
      </c>
      <c r="J2" s="3" t="s">
        <v>132</v>
      </c>
      <c r="L2" s="3" t="s">
        <v>121</v>
      </c>
      <c r="M2" s="3" t="s">
        <v>120</v>
      </c>
      <c r="N2" s="3" t="s">
        <v>125</v>
      </c>
      <c r="O2" s="17" t="s">
        <v>128</v>
      </c>
      <c r="P2" s="17" t="s">
        <v>122</v>
      </c>
      <c r="Q2" s="17" t="s">
        <v>123</v>
      </c>
      <c r="R2" s="17" t="s">
        <v>124</v>
      </c>
      <c r="S2" s="293" t="s">
        <v>256</v>
      </c>
      <c r="T2" s="293" t="s">
        <v>257</v>
      </c>
      <c r="U2" s="293" t="s">
        <v>258</v>
      </c>
      <c r="V2" s="293" t="s">
        <v>259</v>
      </c>
      <c r="W2" s="293" t="s">
        <v>260</v>
      </c>
      <c r="X2" s="293" t="s">
        <v>261</v>
      </c>
    </row>
    <row r="3" spans="1:24" ht="15" customHeight="1" x14ac:dyDescent="0.2">
      <c r="A3" s="29" t="str">
        <f>IF(AND(Feeds!A3&gt;0,Feeds!J3=FALSE),Feeds!A3,"")</f>
        <v/>
      </c>
      <c r="B3" s="164"/>
      <c r="C3" s="149" t="str">
        <f>IF(SUM('Current Rations'!C4:L4)&gt;0,IF(Feeds!J3=FALSE,'Current Rations Cost Summary'!F6/(1-B3),""),"")</f>
        <v/>
      </c>
      <c r="D3" s="47" t="str">
        <f>IF(AND(Feeds!B3&gt;0,Feeds!J3=FALSE),Feeds!B3,"")</f>
        <v/>
      </c>
      <c r="E3" s="9"/>
      <c r="F3" s="48" t="str">
        <f>IF(E3&gt;0,C3/E3,"")</f>
        <v/>
      </c>
      <c r="G3" s="152" t="str">
        <f>IF(AND(Feeds!J3=FALSE,Feeds!A3&gt;0),Feeds!I3/Feeds!E3,"")</f>
        <v/>
      </c>
      <c r="H3" s="152" t="str">
        <f>IF(C3&lt;&gt;"",'Current Rations'!P4,"")</f>
        <v/>
      </c>
      <c r="I3" s="159">
        <v>1</v>
      </c>
      <c r="J3" s="155" t="str">
        <f>" "&amp;IF(I3&gt;1,ROUND((C3/(INDEX(M$3:M$13,I3))),1),"")&amp;" "&amp;INDEX(N$3:N$13,I3)</f>
        <v xml:space="preserve">  </v>
      </c>
      <c r="O3" s="17">
        <f>IF($I3=2,$C3/(INDEX($M$3:$M$13,$I3)),0)</f>
        <v>0</v>
      </c>
      <c r="P3" s="17">
        <f>IF($I3=3,$C3/(INDEX($M$3:$M$13,$I3)),0)</f>
        <v>0</v>
      </c>
      <c r="Q3" s="17">
        <f>IF($I3=4,$C3/(INDEX($M$3:$M$13,$I3)),0)</f>
        <v>0</v>
      </c>
      <c r="R3" s="17">
        <f>IF($I3=5,$C3/(INDEX($M$3:$M$13,$I3)),0)</f>
        <v>0</v>
      </c>
      <c r="S3" s="17">
        <f>IF($I3=6,$C3/(INDEX($M$3:$M$13,$I3)),0)</f>
        <v>0</v>
      </c>
      <c r="T3" s="17">
        <f>IF($I3=7,$C3/(INDEX($M$3:$M$13,$I3)),0)</f>
        <v>0</v>
      </c>
      <c r="U3" s="17">
        <f>IF($I3=8,$C3/(INDEX($M$3:$M$13,$I3)),0)</f>
        <v>0</v>
      </c>
      <c r="V3" s="17">
        <f>IF($I3=9,$C3/(INDEX($M$3:$M$13,$I3)),0)</f>
        <v>0</v>
      </c>
      <c r="W3" s="17">
        <f>IF($I3=10,$C3/(INDEX($M$3:$M$13,$I3)),0)</f>
        <v>0</v>
      </c>
      <c r="X3" s="17">
        <f>IF($I3=11,$C3/(INDEX($M$3:$M$13,$I3)),0)</f>
        <v>0</v>
      </c>
    </row>
    <row r="4" spans="1:24" ht="15" customHeight="1" x14ac:dyDescent="0.2">
      <c r="A4" s="29" t="str">
        <f>IF(AND(Feeds!A4&gt;0,Feeds!J4=FALSE),Feeds!A4,"")</f>
        <v/>
      </c>
      <c r="B4" s="164"/>
      <c r="C4" s="150" t="str">
        <f>IF(SUM('Current Rations'!C5:L5)&gt;0,IF(Feeds!J4=FALSE,'Current Rations Cost Summary'!F7/(1-B4),""),"")</f>
        <v/>
      </c>
      <c r="D4" s="49" t="str">
        <f>IF(AND(Feeds!B4&gt;0,Feeds!J4=FALSE),Feeds!B4,"")</f>
        <v/>
      </c>
      <c r="E4" s="54"/>
      <c r="F4" s="50" t="str">
        <f t="shared" ref="F4:F22" si="0">IF(E4&gt;0,C4/E4,"")</f>
        <v/>
      </c>
      <c r="G4" s="153" t="str">
        <f>IF(AND(Feeds!J4=FALSE,Feeds!A4&gt;0),Feeds!I4/Feeds!E4,"")</f>
        <v/>
      </c>
      <c r="H4" s="153" t="str">
        <f>IF(C4&lt;&gt;"",'Current Rations'!P5,"")</f>
        <v/>
      </c>
      <c r="I4" s="160">
        <v>1</v>
      </c>
      <c r="J4" s="156" t="str">
        <f t="shared" ref="J4:J22" si="1">" "&amp;IF(I4&gt;1,ROUND((C4/(INDEX(M$3:M$13,I4))),1),"")&amp;" "&amp;INDEX(N$3:N$13,I4)</f>
        <v xml:space="preserve">  </v>
      </c>
      <c r="L4" s="17" t="s">
        <v>128</v>
      </c>
      <c r="M4" s="17">
        <v>50</v>
      </c>
      <c r="N4" s="17" t="s">
        <v>126</v>
      </c>
      <c r="O4" s="17">
        <f t="shared" ref="O4:O22" si="2">IF(I4=2,C4/(INDEX(M$3:M$13,I4)),0)</f>
        <v>0</v>
      </c>
      <c r="P4" s="17">
        <f t="shared" ref="P4:P22" si="3">IF($I4=3,$C4/(INDEX($M$3:$M$13,$I4)),0)</f>
        <v>0</v>
      </c>
      <c r="Q4" s="17">
        <f t="shared" ref="Q4:Q22" si="4">IF($I4=4,$C4/(INDEX($M$3:$M$13,$I4)),0)</f>
        <v>0</v>
      </c>
      <c r="R4" s="17">
        <f t="shared" ref="R4:R22" si="5">IF($I4=5,$C4/(INDEX($M$3:$M$13,$I4)),0)</f>
        <v>0</v>
      </c>
      <c r="S4" s="17">
        <f t="shared" ref="S4:S22" si="6">IF($I4=6,$C4/(INDEX($M$3:$M$13,$I4)),0)</f>
        <v>0</v>
      </c>
      <c r="T4" s="17">
        <f t="shared" ref="T4:T22" si="7">IF($I4=7,$C4/(INDEX($M$3:$M$13,$I4)),0)</f>
        <v>0</v>
      </c>
      <c r="U4" s="17">
        <f t="shared" ref="U4:U22" si="8">IF($I4=8,$C4/(INDEX($M$3:$M$13,$I4)),0)</f>
        <v>0</v>
      </c>
      <c r="V4" s="17">
        <f t="shared" ref="V4:V22" si="9">IF($I4=9,$C4/(INDEX($M$3:$M$13,$I4)),0)</f>
        <v>0</v>
      </c>
      <c r="W4" s="17">
        <f t="shared" ref="W4:W22" si="10">IF($I4=10,$C4/(INDEX($M$3:$M$13,$I4)),0)</f>
        <v>0</v>
      </c>
      <c r="X4" s="17">
        <f t="shared" ref="X4:X22" si="11">IF($I4=11,$C4/(INDEX($M$3:$M$13,$I4)),0)</f>
        <v>0</v>
      </c>
    </row>
    <row r="5" spans="1:24" ht="15" customHeight="1" x14ac:dyDescent="0.2">
      <c r="A5" s="29" t="str">
        <f>IF(AND(Feeds!A5&gt;0,Feeds!J5=FALSE),Feeds!A5,"")</f>
        <v/>
      </c>
      <c r="B5" s="164"/>
      <c r="C5" s="150" t="str">
        <f>IF(SUM('Current Rations'!C6:L6)&gt;0,IF(Feeds!J5=FALSE,'Current Rations Cost Summary'!F8/(1-B5),""),"")</f>
        <v/>
      </c>
      <c r="D5" s="49" t="str">
        <f>IF(AND(Feeds!B5&gt;0,Feeds!J5=FALSE),Feeds!B5,"")</f>
        <v/>
      </c>
      <c r="E5" s="54"/>
      <c r="F5" s="50" t="str">
        <f t="shared" si="0"/>
        <v/>
      </c>
      <c r="G5" s="153" t="str">
        <f>IF(AND(Feeds!J5=FALSE,Feeds!A5&gt;0),Feeds!I5/Feeds!E5,"")</f>
        <v/>
      </c>
      <c r="H5" s="153" t="str">
        <f>IF(C5&lt;&gt;"",'Current Rations'!P6,"")</f>
        <v/>
      </c>
      <c r="I5" s="160">
        <v>1</v>
      </c>
      <c r="J5" s="156" t="str">
        <f t="shared" si="1"/>
        <v xml:space="preserve">  </v>
      </c>
      <c r="L5" s="17" t="s">
        <v>122</v>
      </c>
      <c r="M5" s="17">
        <v>100</v>
      </c>
      <c r="N5" s="17" t="s">
        <v>130</v>
      </c>
      <c r="O5" s="17">
        <f t="shared" si="2"/>
        <v>0</v>
      </c>
      <c r="P5" s="17">
        <f t="shared" si="3"/>
        <v>0</v>
      </c>
      <c r="Q5" s="17">
        <f t="shared" si="4"/>
        <v>0</v>
      </c>
      <c r="R5" s="17">
        <f t="shared" si="5"/>
        <v>0</v>
      </c>
      <c r="S5" s="17">
        <f t="shared" si="6"/>
        <v>0</v>
      </c>
      <c r="T5" s="17">
        <f t="shared" si="7"/>
        <v>0</v>
      </c>
      <c r="U5" s="17">
        <f t="shared" si="8"/>
        <v>0</v>
      </c>
      <c r="V5" s="17">
        <f t="shared" si="9"/>
        <v>0</v>
      </c>
      <c r="W5" s="17">
        <f t="shared" si="10"/>
        <v>0</v>
      </c>
      <c r="X5" s="17">
        <f t="shared" si="11"/>
        <v>0</v>
      </c>
    </row>
    <row r="6" spans="1:24" ht="15" customHeight="1" x14ac:dyDescent="0.2">
      <c r="A6" s="29" t="str">
        <f>IF(AND(Feeds!A6&gt;0,Feeds!J6=FALSE),Feeds!A6,"")</f>
        <v/>
      </c>
      <c r="B6" s="164"/>
      <c r="C6" s="150" t="str">
        <f>IF(SUM('Current Rations'!C7:L7)&gt;0,IF(Feeds!J6=FALSE,'Current Rations Cost Summary'!F9/(1-B6),""),"")</f>
        <v/>
      </c>
      <c r="D6" s="49" t="str">
        <f>IF(AND(Feeds!B6&gt;0,Feeds!J6=FALSE),Feeds!B6,"")</f>
        <v/>
      </c>
      <c r="E6" s="54"/>
      <c r="F6" s="50" t="str">
        <f t="shared" si="0"/>
        <v/>
      </c>
      <c r="G6" s="153" t="str">
        <f>IF(AND(Feeds!J6=FALSE,Feeds!A6&gt;0),Feeds!I6/Feeds!E6,"")</f>
        <v/>
      </c>
      <c r="H6" s="153" t="str">
        <f>IF(C6&lt;&gt;"",'Current Rations'!P7,"")</f>
        <v/>
      </c>
      <c r="I6" s="160">
        <v>1</v>
      </c>
      <c r="J6" s="156" t="str">
        <f t="shared" si="1"/>
        <v xml:space="preserve">  </v>
      </c>
      <c r="L6" s="17" t="s">
        <v>123</v>
      </c>
      <c r="M6" s="17">
        <v>500</v>
      </c>
      <c r="N6" s="17" t="s">
        <v>133</v>
      </c>
      <c r="O6" s="17">
        <f t="shared" si="2"/>
        <v>0</v>
      </c>
      <c r="P6" s="17">
        <f t="shared" si="3"/>
        <v>0</v>
      </c>
      <c r="Q6" s="17">
        <f t="shared" si="4"/>
        <v>0</v>
      </c>
      <c r="R6" s="17">
        <f t="shared" si="5"/>
        <v>0</v>
      </c>
      <c r="S6" s="17">
        <f t="shared" si="6"/>
        <v>0</v>
      </c>
      <c r="T6" s="17">
        <f t="shared" si="7"/>
        <v>0</v>
      </c>
      <c r="U6" s="17">
        <f t="shared" si="8"/>
        <v>0</v>
      </c>
      <c r="V6" s="17">
        <f t="shared" si="9"/>
        <v>0</v>
      </c>
      <c r="W6" s="17">
        <f t="shared" si="10"/>
        <v>0</v>
      </c>
      <c r="X6" s="17">
        <f t="shared" si="11"/>
        <v>0</v>
      </c>
    </row>
    <row r="7" spans="1:24" ht="15" customHeight="1" x14ac:dyDescent="0.2">
      <c r="A7" s="29" t="str">
        <f>IF(AND(Feeds!A7&gt;0,Feeds!J7=FALSE),Feeds!A7,"")</f>
        <v/>
      </c>
      <c r="B7" s="164"/>
      <c r="C7" s="150" t="str">
        <f>IF(SUM('Current Rations'!C8:L8)&gt;0,IF(Feeds!J7=FALSE,'Current Rations Cost Summary'!F10/(1-B7),""),"")</f>
        <v/>
      </c>
      <c r="D7" s="49" t="str">
        <f>IF(AND(Feeds!B7&gt;0,Feeds!J7=FALSE),Feeds!B7,"")</f>
        <v/>
      </c>
      <c r="E7" s="54"/>
      <c r="F7" s="50" t="str">
        <f t="shared" si="0"/>
        <v/>
      </c>
      <c r="G7" s="153" t="str">
        <f>IF(AND(Feeds!J7=FALSE,Feeds!A7&gt;0),Feeds!I7/Feeds!E7,"")</f>
        <v/>
      </c>
      <c r="H7" s="153" t="str">
        <f>IF(C7&lt;&gt;"",'Current Rations'!P8,"")</f>
        <v/>
      </c>
      <c r="I7" s="160">
        <v>1</v>
      </c>
      <c r="J7" s="156" t="str">
        <f t="shared" si="1"/>
        <v xml:space="preserve">  </v>
      </c>
      <c r="L7" s="17" t="s">
        <v>124</v>
      </c>
      <c r="M7" s="17">
        <v>1000</v>
      </c>
      <c r="N7" s="17" t="s">
        <v>127</v>
      </c>
      <c r="O7" s="17">
        <f t="shared" si="2"/>
        <v>0</v>
      </c>
      <c r="P7" s="17">
        <f t="shared" si="3"/>
        <v>0</v>
      </c>
      <c r="Q7" s="17">
        <f t="shared" si="4"/>
        <v>0</v>
      </c>
      <c r="R7" s="17">
        <f t="shared" si="5"/>
        <v>0</v>
      </c>
      <c r="S7" s="17">
        <f t="shared" si="6"/>
        <v>0</v>
      </c>
      <c r="T7" s="17">
        <f t="shared" si="7"/>
        <v>0</v>
      </c>
      <c r="U7" s="17">
        <f t="shared" si="8"/>
        <v>0</v>
      </c>
      <c r="V7" s="17">
        <f t="shared" si="9"/>
        <v>0</v>
      </c>
      <c r="W7" s="17">
        <f t="shared" si="10"/>
        <v>0</v>
      </c>
      <c r="X7" s="17">
        <f t="shared" si="11"/>
        <v>0</v>
      </c>
    </row>
    <row r="8" spans="1:24" ht="15" customHeight="1" x14ac:dyDescent="0.2">
      <c r="A8" s="29" t="str">
        <f>IF(AND(Feeds!A8&gt;0,Feeds!J8=FALSE),Feeds!A8,"")</f>
        <v/>
      </c>
      <c r="B8" s="164"/>
      <c r="C8" s="150" t="str">
        <f>IF(SUM('Current Rations'!C9:L9)&gt;0,IF(Feeds!J8=FALSE,'Current Rations Cost Summary'!F11/(1-B8),""),"")</f>
        <v/>
      </c>
      <c r="D8" s="49" t="str">
        <f>IF(AND(Feeds!B8&gt;0,Feeds!J8=FALSE),Feeds!B8,"")</f>
        <v/>
      </c>
      <c r="E8" s="54"/>
      <c r="F8" s="50" t="str">
        <f t="shared" si="0"/>
        <v/>
      </c>
      <c r="G8" s="153" t="str">
        <f>IF(AND(Feeds!J8=FALSE,Feeds!A8&gt;0),Feeds!I8/Feeds!E8,"")</f>
        <v/>
      </c>
      <c r="H8" s="153" t="str">
        <f>IF(C8&lt;&gt;"",'Current Rations'!P9,"")</f>
        <v/>
      </c>
      <c r="I8" s="160">
        <v>1</v>
      </c>
      <c r="J8" s="156" t="str">
        <f t="shared" si="1"/>
        <v xml:space="preserve">  </v>
      </c>
      <c r="L8" s="293" t="s">
        <v>256</v>
      </c>
      <c r="M8" s="17">
        <v>100</v>
      </c>
      <c r="N8" s="17" t="s">
        <v>131</v>
      </c>
      <c r="O8" s="17">
        <f t="shared" si="2"/>
        <v>0</v>
      </c>
      <c r="P8" s="17">
        <f t="shared" si="3"/>
        <v>0</v>
      </c>
      <c r="Q8" s="17">
        <f t="shared" si="4"/>
        <v>0</v>
      </c>
      <c r="R8" s="17">
        <f t="shared" si="5"/>
        <v>0</v>
      </c>
      <c r="S8" s="17">
        <f t="shared" si="6"/>
        <v>0</v>
      </c>
      <c r="T8" s="17">
        <f t="shared" si="7"/>
        <v>0</v>
      </c>
      <c r="U8" s="17">
        <f t="shared" si="8"/>
        <v>0</v>
      </c>
      <c r="V8" s="17">
        <f t="shared" si="9"/>
        <v>0</v>
      </c>
      <c r="W8" s="17">
        <f t="shared" si="10"/>
        <v>0</v>
      </c>
      <c r="X8" s="17">
        <f t="shared" si="11"/>
        <v>0</v>
      </c>
    </row>
    <row r="9" spans="1:24" ht="15" customHeight="1" x14ac:dyDescent="0.2">
      <c r="A9" s="29" t="str">
        <f>IF(AND(Feeds!A9&gt;0,Feeds!J9=FALSE),Feeds!A9,"")</f>
        <v/>
      </c>
      <c r="B9" s="164"/>
      <c r="C9" s="150" t="str">
        <f>IF(SUM('Current Rations'!C10:L10)&gt;0,IF(Feeds!J9=FALSE,'Current Rations Cost Summary'!F12/(1-B9),""),"")</f>
        <v/>
      </c>
      <c r="D9" s="49" t="str">
        <f>IF(AND(Feeds!B9&gt;0,Feeds!J9=FALSE),Feeds!B9,"")</f>
        <v/>
      </c>
      <c r="E9" s="54"/>
      <c r="F9" s="50" t="str">
        <f t="shared" si="0"/>
        <v/>
      </c>
      <c r="G9" s="153" t="str">
        <f>IF(AND(Feeds!J9=FALSE,Feeds!A9&gt;0),Feeds!I9/Feeds!E9,"")</f>
        <v/>
      </c>
      <c r="H9" s="153" t="str">
        <f>IF(C9&lt;&gt;"",'Current Rations'!P10,"")</f>
        <v/>
      </c>
      <c r="I9" s="160">
        <v>1</v>
      </c>
      <c r="J9" s="156" t="str">
        <f t="shared" si="1"/>
        <v xml:space="preserve">  </v>
      </c>
      <c r="L9" s="293" t="s">
        <v>257</v>
      </c>
      <c r="M9" s="17">
        <v>66</v>
      </c>
      <c r="N9" s="17" t="s">
        <v>131</v>
      </c>
      <c r="O9" s="17">
        <f t="shared" si="2"/>
        <v>0</v>
      </c>
      <c r="P9" s="17">
        <f t="shared" si="3"/>
        <v>0</v>
      </c>
      <c r="Q9" s="17">
        <f t="shared" si="4"/>
        <v>0</v>
      </c>
      <c r="R9" s="17">
        <f t="shared" si="5"/>
        <v>0</v>
      </c>
      <c r="S9" s="17">
        <f t="shared" si="6"/>
        <v>0</v>
      </c>
      <c r="T9" s="17">
        <f t="shared" si="7"/>
        <v>0</v>
      </c>
      <c r="U9" s="17">
        <f t="shared" si="8"/>
        <v>0</v>
      </c>
      <c r="V9" s="17">
        <f t="shared" si="9"/>
        <v>0</v>
      </c>
      <c r="W9" s="17">
        <f t="shared" si="10"/>
        <v>0</v>
      </c>
      <c r="X9" s="17">
        <f t="shared" si="11"/>
        <v>0</v>
      </c>
    </row>
    <row r="10" spans="1:24" ht="15" customHeight="1" x14ac:dyDescent="0.2">
      <c r="A10" s="29" t="str">
        <f>IF(AND(Feeds!A10&gt;0,Feeds!J10=FALSE),Feeds!A10,"")</f>
        <v/>
      </c>
      <c r="B10" s="164"/>
      <c r="C10" s="150" t="str">
        <f>IF(SUM('Current Rations'!C11:L11)&gt;0,IF(Feeds!J10=FALSE,'Current Rations Cost Summary'!F13/(1-B10),""),"")</f>
        <v/>
      </c>
      <c r="D10" s="49" t="str">
        <f>IF(AND(Feeds!B10&gt;0,Feeds!J10=FALSE),Feeds!B10,"")</f>
        <v/>
      </c>
      <c r="E10" s="54"/>
      <c r="F10" s="50" t="str">
        <f t="shared" si="0"/>
        <v/>
      </c>
      <c r="G10" s="153" t="str">
        <f>IF(AND(Feeds!J10=FALSE,Feeds!A10&gt;0),Feeds!I10/Feeds!E10,"")</f>
        <v/>
      </c>
      <c r="H10" s="153" t="str">
        <f>IF(C10&lt;&gt;"",'Current Rations'!P11,"")</f>
        <v/>
      </c>
      <c r="I10" s="160">
        <v>1</v>
      </c>
      <c r="J10" s="156" t="str">
        <f t="shared" si="1"/>
        <v xml:space="preserve">  </v>
      </c>
      <c r="L10" s="293" t="s">
        <v>258</v>
      </c>
      <c r="M10" s="17">
        <v>500</v>
      </c>
      <c r="N10" s="17" t="s">
        <v>131</v>
      </c>
      <c r="O10" s="17">
        <f t="shared" si="2"/>
        <v>0</v>
      </c>
      <c r="P10" s="17">
        <f t="shared" si="3"/>
        <v>0</v>
      </c>
      <c r="Q10" s="17">
        <f t="shared" si="4"/>
        <v>0</v>
      </c>
      <c r="R10" s="17">
        <f t="shared" si="5"/>
        <v>0</v>
      </c>
      <c r="S10" s="17">
        <f t="shared" si="6"/>
        <v>0</v>
      </c>
      <c r="T10" s="17">
        <f t="shared" si="7"/>
        <v>0</v>
      </c>
      <c r="U10" s="17">
        <f t="shared" si="8"/>
        <v>0</v>
      </c>
      <c r="V10" s="17">
        <f t="shared" si="9"/>
        <v>0</v>
      </c>
      <c r="W10" s="17">
        <f t="shared" si="10"/>
        <v>0</v>
      </c>
      <c r="X10" s="17">
        <f t="shared" si="11"/>
        <v>0</v>
      </c>
    </row>
    <row r="11" spans="1:24" ht="15" customHeight="1" x14ac:dyDescent="0.2">
      <c r="A11" s="29" t="str">
        <f>IF(AND(Feeds!A11&gt;0,Feeds!J11=FALSE),Feeds!A11,"")</f>
        <v/>
      </c>
      <c r="B11" s="164"/>
      <c r="C11" s="150" t="str">
        <f>IF(SUM('Current Rations'!C12:L12)&gt;0,IF(Feeds!J11=FALSE,'Current Rations Cost Summary'!F14/(1-B11),""),"")</f>
        <v/>
      </c>
      <c r="D11" s="49" t="str">
        <f>IF(AND(Feeds!B11&gt;0,Feeds!J11=FALSE),Feeds!B11,"")</f>
        <v/>
      </c>
      <c r="E11" s="54"/>
      <c r="F11" s="50" t="str">
        <f t="shared" si="0"/>
        <v/>
      </c>
      <c r="G11" s="153" t="str">
        <f>IF(AND(Feeds!J11=FALSE,Feeds!A11&gt;0),Feeds!I11/Feeds!E11,"")</f>
        <v/>
      </c>
      <c r="H11" s="153" t="str">
        <f>IF(C11&lt;&gt;"",'Current Rations'!P12,"")</f>
        <v/>
      </c>
      <c r="I11" s="160">
        <v>1</v>
      </c>
      <c r="J11" s="156" t="str">
        <f t="shared" si="1"/>
        <v xml:space="preserve">  </v>
      </c>
      <c r="L11" s="293" t="s">
        <v>259</v>
      </c>
      <c r="M11" s="17">
        <v>330</v>
      </c>
      <c r="N11" s="17" t="s">
        <v>131</v>
      </c>
      <c r="O11" s="17">
        <f t="shared" si="2"/>
        <v>0</v>
      </c>
      <c r="P11" s="17">
        <f t="shared" si="3"/>
        <v>0</v>
      </c>
      <c r="Q11" s="17">
        <f t="shared" si="4"/>
        <v>0</v>
      </c>
      <c r="R11" s="17">
        <f t="shared" si="5"/>
        <v>0</v>
      </c>
      <c r="S11" s="17">
        <f t="shared" si="6"/>
        <v>0</v>
      </c>
      <c r="T11" s="17">
        <f t="shared" si="7"/>
        <v>0</v>
      </c>
      <c r="U11" s="17">
        <f t="shared" si="8"/>
        <v>0</v>
      </c>
      <c r="V11" s="17">
        <f t="shared" si="9"/>
        <v>0</v>
      </c>
      <c r="W11" s="17">
        <f t="shared" si="10"/>
        <v>0</v>
      </c>
      <c r="X11" s="17">
        <f t="shared" si="11"/>
        <v>0</v>
      </c>
    </row>
    <row r="12" spans="1:24" ht="15" customHeight="1" x14ac:dyDescent="0.2">
      <c r="A12" s="29" t="str">
        <f>IF(AND(Feeds!A12&gt;0,Feeds!J12=FALSE),Feeds!A12,"")</f>
        <v/>
      </c>
      <c r="B12" s="164"/>
      <c r="C12" s="150" t="str">
        <f>IF(SUM('Current Rations'!C13:L13)&gt;0,IF(Feeds!J12=FALSE,'Current Rations Cost Summary'!F15/(1-B12),""),"")</f>
        <v/>
      </c>
      <c r="D12" s="49" t="str">
        <f>IF(AND(Feeds!B12&gt;0,Feeds!J12=FALSE),Feeds!B12,"")</f>
        <v/>
      </c>
      <c r="E12" s="54"/>
      <c r="F12" s="50" t="str">
        <f t="shared" si="0"/>
        <v/>
      </c>
      <c r="G12" s="153" t="str">
        <f>IF(AND(Feeds!J12=FALSE,Feeds!A12&gt;0),Feeds!I12/Feeds!E12,"")</f>
        <v/>
      </c>
      <c r="H12" s="153" t="str">
        <f>IF(C12&lt;&gt;"",'Current Rations'!P13,"")</f>
        <v/>
      </c>
      <c r="I12" s="160">
        <v>1</v>
      </c>
      <c r="J12" s="156" t="str">
        <f t="shared" si="1"/>
        <v xml:space="preserve">  </v>
      </c>
      <c r="L12" s="293" t="s">
        <v>260</v>
      </c>
      <c r="M12" s="17">
        <v>100</v>
      </c>
      <c r="N12" s="17" t="s">
        <v>131</v>
      </c>
      <c r="O12" s="17">
        <f t="shared" si="2"/>
        <v>0</v>
      </c>
      <c r="P12" s="17">
        <f t="shared" si="3"/>
        <v>0</v>
      </c>
      <c r="Q12" s="17">
        <f t="shared" si="4"/>
        <v>0</v>
      </c>
      <c r="R12" s="17">
        <f t="shared" si="5"/>
        <v>0</v>
      </c>
      <c r="S12" s="17">
        <f t="shared" si="6"/>
        <v>0</v>
      </c>
      <c r="T12" s="17">
        <f t="shared" si="7"/>
        <v>0</v>
      </c>
      <c r="U12" s="17">
        <f t="shared" si="8"/>
        <v>0</v>
      </c>
      <c r="V12" s="17">
        <f t="shared" si="9"/>
        <v>0</v>
      </c>
      <c r="W12" s="17">
        <f t="shared" si="10"/>
        <v>0</v>
      </c>
      <c r="X12" s="17">
        <f t="shared" si="11"/>
        <v>0</v>
      </c>
    </row>
    <row r="13" spans="1:24" ht="15" customHeight="1" x14ac:dyDescent="0.2">
      <c r="A13" s="29" t="str">
        <f>IF(AND(Feeds!A13&gt;0,Feeds!J13=FALSE),Feeds!A13,"")</f>
        <v/>
      </c>
      <c r="B13" s="164"/>
      <c r="C13" s="150" t="str">
        <f>IF(SUM('Current Rations'!C14:L14)&gt;0,IF(Feeds!J13=FALSE,'Current Rations Cost Summary'!F16/(1-B13),""),"")</f>
        <v/>
      </c>
      <c r="D13" s="49" t="str">
        <f>IF(AND(Feeds!B13&gt;0,Feeds!J13=FALSE),Feeds!B13,"")</f>
        <v/>
      </c>
      <c r="E13" s="54"/>
      <c r="F13" s="50" t="str">
        <f t="shared" si="0"/>
        <v/>
      </c>
      <c r="G13" s="153" t="str">
        <f>IF(AND(Feeds!J13=FALSE,Feeds!A13&gt;0),Feeds!I13/Feeds!E13,"")</f>
        <v/>
      </c>
      <c r="H13" s="153" t="str">
        <f>IF(C13&lt;&gt;"",'Current Rations'!P14,"")</f>
        <v/>
      </c>
      <c r="I13" s="160">
        <v>1</v>
      </c>
      <c r="J13" s="156" t="str">
        <f t="shared" si="1"/>
        <v xml:space="preserve">  </v>
      </c>
      <c r="L13" s="293" t="s">
        <v>261</v>
      </c>
      <c r="M13" s="17">
        <v>500</v>
      </c>
      <c r="N13" s="17" t="s">
        <v>131</v>
      </c>
      <c r="O13" s="17">
        <f t="shared" si="2"/>
        <v>0</v>
      </c>
      <c r="P13" s="17">
        <f>IF($I13=3,$C13/(INDEX($M$3:$M$13,$I13)),0)</f>
        <v>0</v>
      </c>
      <c r="Q13" s="17">
        <f t="shared" si="4"/>
        <v>0</v>
      </c>
      <c r="R13" s="17">
        <f t="shared" si="5"/>
        <v>0</v>
      </c>
      <c r="S13" s="17">
        <f t="shared" si="6"/>
        <v>0</v>
      </c>
      <c r="T13" s="17">
        <f t="shared" si="7"/>
        <v>0</v>
      </c>
      <c r="U13" s="17">
        <f t="shared" si="8"/>
        <v>0</v>
      </c>
      <c r="V13" s="17">
        <f t="shared" si="9"/>
        <v>0</v>
      </c>
      <c r="W13" s="17">
        <f t="shared" si="10"/>
        <v>0</v>
      </c>
      <c r="X13" s="17">
        <f t="shared" si="11"/>
        <v>0</v>
      </c>
    </row>
    <row r="14" spans="1:24" ht="15" customHeight="1" x14ac:dyDescent="0.2">
      <c r="A14" s="29" t="str">
        <f>IF(AND(Feeds!A14&gt;0,Feeds!J14=FALSE),Feeds!A14,"")</f>
        <v/>
      </c>
      <c r="B14" s="164"/>
      <c r="C14" s="150" t="str">
        <f>IF(SUM('Current Rations'!C15:L15)&gt;0,IF(Feeds!J14=FALSE,'Current Rations Cost Summary'!F17/(1-B14),""),"")</f>
        <v/>
      </c>
      <c r="D14" s="49" t="str">
        <f>IF(AND(Feeds!B14&gt;0,Feeds!J14=FALSE),Feeds!B14,"")</f>
        <v/>
      </c>
      <c r="E14" s="54"/>
      <c r="F14" s="50" t="str">
        <f t="shared" si="0"/>
        <v/>
      </c>
      <c r="G14" s="153" t="str">
        <f>IF(AND(Feeds!J14=FALSE,Feeds!A14&gt;0),Feeds!I14/Feeds!E14,"")</f>
        <v/>
      </c>
      <c r="H14" s="153" t="str">
        <f>IF(C14&lt;&gt;"",'Current Rations'!P15,"")</f>
        <v/>
      </c>
      <c r="I14" s="160">
        <v>1</v>
      </c>
      <c r="J14" s="156" t="str">
        <f t="shared" si="1"/>
        <v xml:space="preserve">  </v>
      </c>
      <c r="O14" s="17">
        <f t="shared" si="2"/>
        <v>0</v>
      </c>
      <c r="P14" s="17">
        <f t="shared" si="3"/>
        <v>0</v>
      </c>
      <c r="Q14" s="17">
        <f t="shared" si="4"/>
        <v>0</v>
      </c>
      <c r="R14" s="17">
        <f t="shared" si="5"/>
        <v>0</v>
      </c>
      <c r="S14" s="17">
        <f t="shared" si="6"/>
        <v>0</v>
      </c>
      <c r="T14" s="17">
        <f t="shared" si="7"/>
        <v>0</v>
      </c>
      <c r="U14" s="17">
        <f t="shared" si="8"/>
        <v>0</v>
      </c>
      <c r="V14" s="17">
        <f t="shared" si="9"/>
        <v>0</v>
      </c>
      <c r="W14" s="17">
        <f t="shared" si="10"/>
        <v>0</v>
      </c>
      <c r="X14" s="17">
        <f t="shared" si="11"/>
        <v>0</v>
      </c>
    </row>
    <row r="15" spans="1:24" ht="15" customHeight="1" x14ac:dyDescent="0.2">
      <c r="A15" s="29" t="str">
        <f>IF(AND(Feeds!A15&gt;0,Feeds!J15=FALSE),Feeds!A15,"")</f>
        <v/>
      </c>
      <c r="B15" s="164"/>
      <c r="C15" s="150" t="str">
        <f>IF(SUM('Current Rations'!C16:L16)&gt;0,IF(Feeds!J15=FALSE,'Current Rations Cost Summary'!F18/(1-B15),""),"")</f>
        <v/>
      </c>
      <c r="D15" s="49" t="str">
        <f>IF(AND(Feeds!B15&gt;0,Feeds!J15=FALSE),Feeds!B15,"")</f>
        <v/>
      </c>
      <c r="E15" s="54"/>
      <c r="F15" s="50" t="str">
        <f t="shared" si="0"/>
        <v/>
      </c>
      <c r="G15" s="153" t="str">
        <f>IF(AND(Feeds!J15=FALSE,Feeds!A15&gt;0),Feeds!I15/Feeds!E15,"")</f>
        <v/>
      </c>
      <c r="H15" s="153" t="str">
        <f>IF(C15&lt;&gt;"",'Current Rations'!P16,"")</f>
        <v/>
      </c>
      <c r="I15" s="160">
        <v>1</v>
      </c>
      <c r="J15" s="156" t="str">
        <f t="shared" si="1"/>
        <v xml:space="preserve">  </v>
      </c>
      <c r="O15" s="17">
        <f t="shared" si="2"/>
        <v>0</v>
      </c>
      <c r="P15" s="17">
        <f t="shared" si="3"/>
        <v>0</v>
      </c>
      <c r="Q15" s="17">
        <f t="shared" si="4"/>
        <v>0</v>
      </c>
      <c r="R15" s="17">
        <f>IF($I15=5,$C15/(INDEX($M$3:$M$13,$I15)),0)</f>
        <v>0</v>
      </c>
      <c r="S15" s="17">
        <f t="shared" si="6"/>
        <v>0</v>
      </c>
      <c r="T15" s="17">
        <f t="shared" si="7"/>
        <v>0</v>
      </c>
      <c r="U15" s="17">
        <f t="shared" si="8"/>
        <v>0</v>
      </c>
      <c r="V15" s="17">
        <f t="shared" si="9"/>
        <v>0</v>
      </c>
      <c r="W15" s="17">
        <f t="shared" si="10"/>
        <v>0</v>
      </c>
      <c r="X15" s="17">
        <f t="shared" si="11"/>
        <v>0</v>
      </c>
    </row>
    <row r="16" spans="1:24" ht="15" customHeight="1" x14ac:dyDescent="0.2">
      <c r="A16" s="29" t="str">
        <f>IF(AND(Feeds!A16&gt;0,Feeds!J16=FALSE),Feeds!A16,"")</f>
        <v/>
      </c>
      <c r="B16" s="164"/>
      <c r="C16" s="150" t="str">
        <f>IF(SUM('Current Rations'!C17:L17)&gt;0,IF(Feeds!J16=FALSE,'Current Rations Cost Summary'!F19/(1-B16),""),"")</f>
        <v/>
      </c>
      <c r="D16" s="49" t="str">
        <f>IF(AND(Feeds!B16&gt;0,Feeds!J16=FALSE),Feeds!B16,"")</f>
        <v/>
      </c>
      <c r="E16" s="54"/>
      <c r="F16" s="50" t="str">
        <f t="shared" si="0"/>
        <v/>
      </c>
      <c r="G16" s="153" t="str">
        <f>IF(AND(Feeds!J16=FALSE,Feeds!A16&gt;0),Feeds!I16/Feeds!E16,"")</f>
        <v/>
      </c>
      <c r="H16" s="153" t="str">
        <f>IF(C16&lt;&gt;"",'Current Rations'!P17,"")</f>
        <v/>
      </c>
      <c r="I16" s="160">
        <v>1</v>
      </c>
      <c r="J16" s="156" t="str">
        <f t="shared" si="1"/>
        <v xml:space="preserve">  </v>
      </c>
      <c r="O16" s="17">
        <f t="shared" si="2"/>
        <v>0</v>
      </c>
      <c r="P16" s="17">
        <f t="shared" si="3"/>
        <v>0</v>
      </c>
      <c r="Q16" s="17">
        <f t="shared" si="4"/>
        <v>0</v>
      </c>
      <c r="R16" s="17">
        <f t="shared" si="5"/>
        <v>0</v>
      </c>
      <c r="S16" s="17">
        <f t="shared" si="6"/>
        <v>0</v>
      </c>
      <c r="T16" s="17">
        <f t="shared" si="7"/>
        <v>0</v>
      </c>
      <c r="U16" s="17">
        <f t="shared" si="8"/>
        <v>0</v>
      </c>
      <c r="V16" s="17">
        <f t="shared" si="9"/>
        <v>0</v>
      </c>
      <c r="W16" s="17">
        <f t="shared" si="10"/>
        <v>0</v>
      </c>
      <c r="X16" s="17">
        <f t="shared" si="11"/>
        <v>0</v>
      </c>
    </row>
    <row r="17" spans="1:24" ht="15" customHeight="1" x14ac:dyDescent="0.2">
      <c r="A17" s="29" t="str">
        <f>IF(AND(Feeds!A17&gt;0,Feeds!J17=FALSE),Feeds!A17,"")</f>
        <v/>
      </c>
      <c r="B17" s="164"/>
      <c r="C17" s="150" t="str">
        <f>IF(SUM('Current Rations'!C18:L18)&gt;0,IF(Feeds!J17=FALSE,'Current Rations Cost Summary'!F20/(1-B17),""),"")</f>
        <v/>
      </c>
      <c r="D17" s="49" t="str">
        <f>IF(AND(Feeds!B17&gt;0,Feeds!J17=FALSE),Feeds!B17,"")</f>
        <v/>
      </c>
      <c r="E17" s="54"/>
      <c r="F17" s="50" t="str">
        <f t="shared" si="0"/>
        <v/>
      </c>
      <c r="G17" s="153" t="str">
        <f>IF(AND(Feeds!J17=FALSE,Feeds!A17&gt;0),Feeds!I17/Feeds!E17,"")</f>
        <v/>
      </c>
      <c r="H17" s="153" t="str">
        <f>IF(C17&lt;&gt;"",'Current Rations'!P18,"")</f>
        <v/>
      </c>
      <c r="I17" s="160">
        <v>1</v>
      </c>
      <c r="J17" s="156" t="str">
        <f t="shared" si="1"/>
        <v xml:space="preserve">  </v>
      </c>
      <c r="O17" s="17">
        <f t="shared" si="2"/>
        <v>0</v>
      </c>
      <c r="P17" s="17">
        <f t="shared" si="3"/>
        <v>0</v>
      </c>
      <c r="Q17" s="17">
        <f t="shared" si="4"/>
        <v>0</v>
      </c>
      <c r="R17" s="17">
        <f t="shared" si="5"/>
        <v>0</v>
      </c>
      <c r="S17" s="17">
        <f t="shared" si="6"/>
        <v>0</v>
      </c>
      <c r="T17" s="17">
        <f t="shared" si="7"/>
        <v>0</v>
      </c>
      <c r="U17" s="17">
        <f t="shared" si="8"/>
        <v>0</v>
      </c>
      <c r="V17" s="17">
        <f t="shared" si="9"/>
        <v>0</v>
      </c>
      <c r="W17" s="17">
        <f t="shared" si="10"/>
        <v>0</v>
      </c>
      <c r="X17" s="17">
        <f t="shared" si="11"/>
        <v>0</v>
      </c>
    </row>
    <row r="18" spans="1:24" ht="15" customHeight="1" x14ac:dyDescent="0.2">
      <c r="A18" s="29" t="str">
        <f>IF(AND(Feeds!A18&gt;0,Feeds!J18=FALSE),Feeds!A18,"")</f>
        <v/>
      </c>
      <c r="B18" s="164"/>
      <c r="C18" s="150" t="str">
        <f>IF(SUM('Current Rations'!C19:L19)&gt;0,IF(Feeds!J18=FALSE,'Current Rations Cost Summary'!F21/(1-B18),""),"")</f>
        <v/>
      </c>
      <c r="D18" s="49" t="str">
        <f>IF(AND(Feeds!B18&gt;0,Feeds!J18=FALSE),Feeds!B18,"")</f>
        <v/>
      </c>
      <c r="E18" s="54"/>
      <c r="F18" s="50" t="str">
        <f t="shared" si="0"/>
        <v/>
      </c>
      <c r="G18" s="153" t="str">
        <f>IF(AND(Feeds!J18=FALSE,Feeds!A18&gt;0),Feeds!I18/Feeds!E18,"")</f>
        <v/>
      </c>
      <c r="H18" s="153" t="str">
        <f>IF(C18&lt;&gt;"",'Current Rations'!P19,"")</f>
        <v/>
      </c>
      <c r="I18" s="160">
        <v>1</v>
      </c>
      <c r="J18" s="156" t="str">
        <f t="shared" si="1"/>
        <v xml:space="preserve">  </v>
      </c>
      <c r="O18" s="17">
        <f t="shared" si="2"/>
        <v>0</v>
      </c>
      <c r="P18" s="17">
        <f t="shared" si="3"/>
        <v>0</v>
      </c>
      <c r="Q18" s="17">
        <f t="shared" si="4"/>
        <v>0</v>
      </c>
      <c r="R18" s="17">
        <f t="shared" si="5"/>
        <v>0</v>
      </c>
      <c r="S18" s="17">
        <f t="shared" si="6"/>
        <v>0</v>
      </c>
      <c r="T18" s="17">
        <f t="shared" si="7"/>
        <v>0</v>
      </c>
      <c r="U18" s="17">
        <f t="shared" si="8"/>
        <v>0</v>
      </c>
      <c r="V18" s="17">
        <f t="shared" si="9"/>
        <v>0</v>
      </c>
      <c r="W18" s="17">
        <f t="shared" si="10"/>
        <v>0</v>
      </c>
      <c r="X18" s="17">
        <f t="shared" si="11"/>
        <v>0</v>
      </c>
    </row>
    <row r="19" spans="1:24" ht="15" customHeight="1" x14ac:dyDescent="0.2">
      <c r="A19" s="29" t="str">
        <f>IF(AND(Feeds!A19&gt;0,Feeds!J19=FALSE),Feeds!A19,"")</f>
        <v/>
      </c>
      <c r="B19" s="164"/>
      <c r="C19" s="150" t="str">
        <f>IF(SUM('Current Rations'!C20:L20)&gt;0,IF(Feeds!J19=FALSE,'Current Rations Cost Summary'!F22/(1-B19),""),"")</f>
        <v/>
      </c>
      <c r="D19" s="49" t="str">
        <f>IF(AND(Feeds!B19&gt;0,Feeds!J19=FALSE),Feeds!B19,"")</f>
        <v/>
      </c>
      <c r="E19" s="54"/>
      <c r="F19" s="50" t="str">
        <f t="shared" si="0"/>
        <v/>
      </c>
      <c r="G19" s="153" t="str">
        <f>IF(AND(Feeds!J19=FALSE,Feeds!A19&gt;0),Feeds!I19/Feeds!E19,"")</f>
        <v/>
      </c>
      <c r="H19" s="153" t="str">
        <f>IF(C19&lt;&gt;"",'Current Rations'!P20,"")</f>
        <v/>
      </c>
      <c r="I19" s="160">
        <v>1</v>
      </c>
      <c r="J19" s="156" t="str">
        <f t="shared" si="1"/>
        <v xml:space="preserve">  </v>
      </c>
      <c r="O19" s="17">
        <f t="shared" si="2"/>
        <v>0</v>
      </c>
      <c r="P19" s="17">
        <f t="shared" si="3"/>
        <v>0</v>
      </c>
      <c r="Q19" s="17">
        <f t="shared" si="4"/>
        <v>0</v>
      </c>
      <c r="R19" s="17">
        <f t="shared" si="5"/>
        <v>0</v>
      </c>
      <c r="S19" s="17">
        <f t="shared" si="6"/>
        <v>0</v>
      </c>
      <c r="T19" s="17">
        <f t="shared" si="7"/>
        <v>0</v>
      </c>
      <c r="U19" s="17">
        <f t="shared" si="8"/>
        <v>0</v>
      </c>
      <c r="V19" s="17">
        <f t="shared" si="9"/>
        <v>0</v>
      </c>
      <c r="W19" s="17">
        <f t="shared" si="10"/>
        <v>0</v>
      </c>
      <c r="X19" s="17">
        <f t="shared" si="11"/>
        <v>0</v>
      </c>
    </row>
    <row r="20" spans="1:24" ht="15" customHeight="1" x14ac:dyDescent="0.2">
      <c r="A20" s="29" t="str">
        <f>IF(AND(Feeds!A20&gt;0,Feeds!J20=FALSE),Feeds!A20,"")</f>
        <v/>
      </c>
      <c r="B20" s="164"/>
      <c r="C20" s="150" t="str">
        <f>IF(SUM('Current Rations'!C21:L21)&gt;0,IF(Feeds!J20=FALSE,'Current Rations Cost Summary'!F23/(1-B20),""),"")</f>
        <v/>
      </c>
      <c r="D20" s="49" t="str">
        <f>IF(AND(Feeds!B20&gt;0,Feeds!J20=FALSE),Feeds!B20,"")</f>
        <v/>
      </c>
      <c r="E20" s="54"/>
      <c r="F20" s="50" t="str">
        <f t="shared" si="0"/>
        <v/>
      </c>
      <c r="G20" s="153" t="str">
        <f>IF(AND(Feeds!J20=FALSE,Feeds!A20&gt;0),Feeds!I20/Feeds!E20,"")</f>
        <v/>
      </c>
      <c r="H20" s="153" t="str">
        <f>IF(C20&lt;&gt;"",'Current Rations'!P21,"")</f>
        <v/>
      </c>
      <c r="I20" s="160">
        <v>1</v>
      </c>
      <c r="J20" s="156" t="str">
        <f t="shared" si="1"/>
        <v xml:space="preserve">  </v>
      </c>
      <c r="O20" s="17">
        <f t="shared" si="2"/>
        <v>0</v>
      </c>
      <c r="P20" s="17">
        <f t="shared" si="3"/>
        <v>0</v>
      </c>
      <c r="Q20" s="17">
        <f t="shared" si="4"/>
        <v>0</v>
      </c>
      <c r="R20" s="17">
        <f t="shared" si="5"/>
        <v>0</v>
      </c>
      <c r="S20" s="17">
        <f t="shared" si="6"/>
        <v>0</v>
      </c>
      <c r="T20" s="17">
        <f t="shared" si="7"/>
        <v>0</v>
      </c>
      <c r="U20" s="17">
        <f t="shared" si="8"/>
        <v>0</v>
      </c>
      <c r="V20" s="17">
        <f t="shared" si="9"/>
        <v>0</v>
      </c>
      <c r="W20" s="17">
        <f t="shared" si="10"/>
        <v>0</v>
      </c>
      <c r="X20" s="17">
        <f t="shared" si="11"/>
        <v>0</v>
      </c>
    </row>
    <row r="21" spans="1:24" ht="15" customHeight="1" x14ac:dyDescent="0.2">
      <c r="A21" s="29" t="str">
        <f>IF(AND(Feeds!A21&gt;0,Feeds!J21=FALSE),Feeds!A21,"")</f>
        <v/>
      </c>
      <c r="B21" s="164"/>
      <c r="C21" s="150" t="str">
        <f>IF(SUM('Current Rations'!C22:L22)&gt;0,IF(Feeds!J21=FALSE,'Current Rations Cost Summary'!F24/(1-B21),""),"")</f>
        <v/>
      </c>
      <c r="D21" s="49" t="str">
        <f>IF(AND(Feeds!B21&gt;0,Feeds!J21=FALSE),Feeds!B21,"")</f>
        <v/>
      </c>
      <c r="E21" s="54"/>
      <c r="F21" s="50" t="str">
        <f t="shared" si="0"/>
        <v/>
      </c>
      <c r="G21" s="153" t="str">
        <f>IF(AND(Feeds!J21=FALSE,Feeds!A21&gt;0),Feeds!I21/Feeds!E21,"")</f>
        <v/>
      </c>
      <c r="H21" s="153" t="str">
        <f>IF(C21&lt;&gt;"",'Current Rations'!P22,"")</f>
        <v/>
      </c>
      <c r="I21" s="160">
        <v>1</v>
      </c>
      <c r="J21" s="156" t="str">
        <f t="shared" si="1"/>
        <v xml:space="preserve">  </v>
      </c>
      <c r="O21" s="17">
        <f t="shared" si="2"/>
        <v>0</v>
      </c>
      <c r="P21" s="17">
        <f t="shared" si="3"/>
        <v>0</v>
      </c>
      <c r="Q21" s="17">
        <f t="shared" si="4"/>
        <v>0</v>
      </c>
      <c r="R21" s="17">
        <f t="shared" si="5"/>
        <v>0</v>
      </c>
      <c r="S21" s="17">
        <f t="shared" si="6"/>
        <v>0</v>
      </c>
      <c r="T21" s="17">
        <f t="shared" si="7"/>
        <v>0</v>
      </c>
      <c r="U21" s="17">
        <f t="shared" si="8"/>
        <v>0</v>
      </c>
      <c r="V21" s="17">
        <f t="shared" si="9"/>
        <v>0</v>
      </c>
      <c r="W21" s="17">
        <f t="shared" si="10"/>
        <v>0</v>
      </c>
      <c r="X21" s="17">
        <f t="shared" si="11"/>
        <v>0</v>
      </c>
    </row>
    <row r="22" spans="1:24" ht="15" customHeight="1" thickBot="1" x14ac:dyDescent="0.25">
      <c r="A22" s="29" t="str">
        <f>IF(AND(Feeds!A22&gt;0,Feeds!J22=FALSE),Feeds!A22,"")</f>
        <v/>
      </c>
      <c r="B22" s="164"/>
      <c r="C22" s="151" t="str">
        <f>IF(SUM('Current Rations'!C23:L23)&gt;0,IF(Feeds!J22=FALSE,'Current Rations Cost Summary'!F25/(1-B22),""),"")</f>
        <v/>
      </c>
      <c r="D22" s="51" t="str">
        <f>IF(AND(Feeds!B22&gt;0,Feeds!J22=FALSE),Feeds!B22,"")</f>
        <v/>
      </c>
      <c r="E22" s="55"/>
      <c r="F22" s="52" t="str">
        <f t="shared" si="0"/>
        <v/>
      </c>
      <c r="G22" s="154" t="str">
        <f>IF(AND(Feeds!J22=FALSE,Feeds!A22&gt;0),Feeds!I22/Feeds!E22,"")</f>
        <v/>
      </c>
      <c r="H22" s="154" t="str">
        <f>IF(C22&lt;&gt;"",'Current Rations'!P23,"")</f>
        <v/>
      </c>
      <c r="I22" s="161">
        <v>1</v>
      </c>
      <c r="J22" s="157" t="str">
        <f t="shared" si="1"/>
        <v xml:space="preserve">  </v>
      </c>
      <c r="O22" s="17">
        <f t="shared" si="2"/>
        <v>0</v>
      </c>
      <c r="P22" s="17">
        <f t="shared" si="3"/>
        <v>0</v>
      </c>
      <c r="Q22" s="17">
        <f t="shared" si="4"/>
        <v>0</v>
      </c>
      <c r="R22" s="17">
        <f t="shared" si="5"/>
        <v>0</v>
      </c>
      <c r="S22" s="17">
        <f t="shared" si="6"/>
        <v>0</v>
      </c>
      <c r="T22" s="17">
        <f t="shared" si="7"/>
        <v>0</v>
      </c>
      <c r="U22" s="17">
        <f t="shared" si="8"/>
        <v>0</v>
      </c>
      <c r="V22" s="17">
        <f t="shared" si="9"/>
        <v>0</v>
      </c>
      <c r="W22" s="17">
        <f t="shared" si="10"/>
        <v>0</v>
      </c>
      <c r="X22" s="17">
        <f t="shared" si="11"/>
        <v>0</v>
      </c>
    </row>
    <row r="23" spans="1:24" x14ac:dyDescent="0.2">
      <c r="D23" s="1"/>
      <c r="E23" s="16" t="s">
        <v>27</v>
      </c>
      <c r="F23" s="53">
        <f>SUM(F3:F22)</f>
        <v>0</v>
      </c>
    </row>
    <row r="26" spans="1:24" ht="18" x14ac:dyDescent="0.25">
      <c r="E26" s="158" t="s">
        <v>134</v>
      </c>
      <c r="F26" s="1"/>
      <c r="G26" s="1"/>
    </row>
    <row r="27" spans="1:24" x14ac:dyDescent="0.2">
      <c r="E27" s="16" t="s">
        <v>139</v>
      </c>
      <c r="F27" s="53">
        <f>SUM(O3:O22)</f>
        <v>0</v>
      </c>
      <c r="G27" s="1" t="s">
        <v>135</v>
      </c>
    </row>
    <row r="28" spans="1:24" x14ac:dyDescent="0.2">
      <c r="E28" s="16" t="s">
        <v>140</v>
      </c>
      <c r="F28" s="53">
        <f>SUM(P3:P22)</f>
        <v>0</v>
      </c>
      <c r="G28" s="1" t="s">
        <v>136</v>
      </c>
    </row>
    <row r="29" spans="1:24" x14ac:dyDescent="0.2">
      <c r="E29" s="16" t="s">
        <v>141</v>
      </c>
      <c r="F29" s="53">
        <f>SUM(Q3:Q22)</f>
        <v>0</v>
      </c>
      <c r="G29" s="1" t="s">
        <v>137</v>
      </c>
    </row>
    <row r="30" spans="1:24" x14ac:dyDescent="0.2">
      <c r="E30" s="16" t="s">
        <v>138</v>
      </c>
      <c r="F30" s="53">
        <f>SUM(R3:R22)</f>
        <v>0</v>
      </c>
      <c r="G30" s="1" t="s">
        <v>142</v>
      </c>
    </row>
    <row r="31" spans="1:24" x14ac:dyDescent="0.2">
      <c r="E31" s="16" t="s">
        <v>252</v>
      </c>
      <c r="F31" s="53">
        <f>SUM(S3:T22)</f>
        <v>0</v>
      </c>
      <c r="G31" s="1" t="s">
        <v>143</v>
      </c>
    </row>
    <row r="32" spans="1:24" x14ac:dyDescent="0.2">
      <c r="E32" s="16" t="s">
        <v>253</v>
      </c>
      <c r="F32" s="53">
        <f>SUM(U3:V22)</f>
        <v>0</v>
      </c>
      <c r="G32" s="1" t="s">
        <v>143</v>
      </c>
    </row>
    <row r="33" spans="5:7" x14ac:dyDescent="0.2">
      <c r="E33" s="16" t="s">
        <v>254</v>
      </c>
      <c r="F33" s="53">
        <f>SUM(W3:W22)</f>
        <v>0</v>
      </c>
      <c r="G33" s="1" t="s">
        <v>143</v>
      </c>
    </row>
    <row r="34" spans="5:7" x14ac:dyDescent="0.2">
      <c r="E34" s="16" t="s">
        <v>255</v>
      </c>
      <c r="F34" s="53">
        <f>SUM(X3:X22)</f>
        <v>0</v>
      </c>
      <c r="G34" s="1" t="s">
        <v>143</v>
      </c>
    </row>
  </sheetData>
  <sheetProtection password="D040" sheet="1" objects="1" scenarios="1"/>
  <mergeCells count="1">
    <mergeCell ref="C2:D2"/>
  </mergeCells>
  <phoneticPr fontId="0" type="noConversion"/>
  <pageMargins left="0.75" right="0.75" top="1" bottom="1" header="0.5" footer="0.5"/>
  <pageSetup scale="91"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Drop Down 2">
              <controlPr defaultSize="0" autoLine="0" autoPict="0">
                <anchor moveWithCells="1">
                  <from>
                    <xdr:col>8</xdr:col>
                    <xdr:colOff>9525</xdr:colOff>
                    <xdr:row>2</xdr:row>
                    <xdr:rowOff>0</xdr:rowOff>
                  </from>
                  <to>
                    <xdr:col>9</xdr:col>
                    <xdr:colOff>0</xdr:colOff>
                    <xdr:row>3</xdr:row>
                    <xdr:rowOff>9525</xdr:rowOff>
                  </to>
                </anchor>
              </controlPr>
            </control>
          </mc:Choice>
        </mc:AlternateContent>
        <mc:AlternateContent xmlns:mc="http://schemas.openxmlformats.org/markup-compatibility/2006">
          <mc:Choice Requires="x14">
            <control shapeId="4100" r:id="rId5" name="Drop Down 4">
              <controlPr defaultSize="0" autoLine="0" autoPict="0">
                <anchor moveWithCells="1">
                  <from>
                    <xdr:col>8</xdr:col>
                    <xdr:colOff>9525</xdr:colOff>
                    <xdr:row>2</xdr:row>
                    <xdr:rowOff>180975</xdr:rowOff>
                  </from>
                  <to>
                    <xdr:col>9</xdr:col>
                    <xdr:colOff>0</xdr:colOff>
                    <xdr:row>4</xdr:row>
                    <xdr:rowOff>0</xdr:rowOff>
                  </to>
                </anchor>
              </controlPr>
            </control>
          </mc:Choice>
        </mc:AlternateContent>
        <mc:AlternateContent xmlns:mc="http://schemas.openxmlformats.org/markup-compatibility/2006">
          <mc:Choice Requires="x14">
            <control shapeId="4101" r:id="rId6" name="Drop Down 5">
              <controlPr defaultSize="0" autoLine="0" autoPict="0">
                <anchor moveWithCells="1">
                  <from>
                    <xdr:col>8</xdr:col>
                    <xdr:colOff>9525</xdr:colOff>
                    <xdr:row>3</xdr:row>
                    <xdr:rowOff>180975</xdr:rowOff>
                  </from>
                  <to>
                    <xdr:col>9</xdr:col>
                    <xdr:colOff>0</xdr:colOff>
                    <xdr:row>5</xdr:row>
                    <xdr:rowOff>0</xdr:rowOff>
                  </to>
                </anchor>
              </controlPr>
            </control>
          </mc:Choice>
        </mc:AlternateContent>
        <mc:AlternateContent xmlns:mc="http://schemas.openxmlformats.org/markup-compatibility/2006">
          <mc:Choice Requires="x14">
            <control shapeId="4102" r:id="rId7" name="Drop Down 6">
              <controlPr defaultSize="0" autoLine="0" autoPict="0">
                <anchor moveWithCells="1">
                  <from>
                    <xdr:col>8</xdr:col>
                    <xdr:colOff>9525</xdr:colOff>
                    <xdr:row>4</xdr:row>
                    <xdr:rowOff>180975</xdr:rowOff>
                  </from>
                  <to>
                    <xdr:col>9</xdr:col>
                    <xdr:colOff>0</xdr:colOff>
                    <xdr:row>6</xdr:row>
                    <xdr:rowOff>0</xdr:rowOff>
                  </to>
                </anchor>
              </controlPr>
            </control>
          </mc:Choice>
        </mc:AlternateContent>
        <mc:AlternateContent xmlns:mc="http://schemas.openxmlformats.org/markup-compatibility/2006">
          <mc:Choice Requires="x14">
            <control shapeId="4103" r:id="rId8" name="Drop Down 7">
              <controlPr defaultSize="0" autoLine="0" autoPict="0">
                <anchor moveWithCells="1">
                  <from>
                    <xdr:col>8</xdr:col>
                    <xdr:colOff>9525</xdr:colOff>
                    <xdr:row>5</xdr:row>
                    <xdr:rowOff>180975</xdr:rowOff>
                  </from>
                  <to>
                    <xdr:col>9</xdr:col>
                    <xdr:colOff>0</xdr:colOff>
                    <xdr:row>7</xdr:row>
                    <xdr:rowOff>0</xdr:rowOff>
                  </to>
                </anchor>
              </controlPr>
            </control>
          </mc:Choice>
        </mc:AlternateContent>
        <mc:AlternateContent xmlns:mc="http://schemas.openxmlformats.org/markup-compatibility/2006">
          <mc:Choice Requires="x14">
            <control shapeId="4104" r:id="rId9" name="Drop Down 8">
              <controlPr defaultSize="0" autoLine="0" autoPict="0">
                <anchor moveWithCells="1">
                  <from>
                    <xdr:col>8</xdr:col>
                    <xdr:colOff>9525</xdr:colOff>
                    <xdr:row>6</xdr:row>
                    <xdr:rowOff>180975</xdr:rowOff>
                  </from>
                  <to>
                    <xdr:col>9</xdr:col>
                    <xdr:colOff>0</xdr:colOff>
                    <xdr:row>8</xdr:row>
                    <xdr:rowOff>0</xdr:rowOff>
                  </to>
                </anchor>
              </controlPr>
            </control>
          </mc:Choice>
        </mc:AlternateContent>
        <mc:AlternateContent xmlns:mc="http://schemas.openxmlformats.org/markup-compatibility/2006">
          <mc:Choice Requires="x14">
            <control shapeId="4105" r:id="rId10" name="Drop Down 9">
              <controlPr defaultSize="0" autoLine="0" autoPict="0">
                <anchor moveWithCells="1">
                  <from>
                    <xdr:col>8</xdr:col>
                    <xdr:colOff>9525</xdr:colOff>
                    <xdr:row>7</xdr:row>
                    <xdr:rowOff>180975</xdr:rowOff>
                  </from>
                  <to>
                    <xdr:col>9</xdr:col>
                    <xdr:colOff>0</xdr:colOff>
                    <xdr:row>9</xdr:row>
                    <xdr:rowOff>0</xdr:rowOff>
                  </to>
                </anchor>
              </controlPr>
            </control>
          </mc:Choice>
        </mc:AlternateContent>
        <mc:AlternateContent xmlns:mc="http://schemas.openxmlformats.org/markup-compatibility/2006">
          <mc:Choice Requires="x14">
            <control shapeId="4106" r:id="rId11" name="Drop Down 10">
              <controlPr defaultSize="0" autoLine="0" autoPict="0">
                <anchor moveWithCells="1">
                  <from>
                    <xdr:col>8</xdr:col>
                    <xdr:colOff>9525</xdr:colOff>
                    <xdr:row>8</xdr:row>
                    <xdr:rowOff>180975</xdr:rowOff>
                  </from>
                  <to>
                    <xdr:col>9</xdr:col>
                    <xdr:colOff>0</xdr:colOff>
                    <xdr:row>10</xdr:row>
                    <xdr:rowOff>0</xdr:rowOff>
                  </to>
                </anchor>
              </controlPr>
            </control>
          </mc:Choice>
        </mc:AlternateContent>
        <mc:AlternateContent xmlns:mc="http://schemas.openxmlformats.org/markup-compatibility/2006">
          <mc:Choice Requires="x14">
            <control shapeId="4107" r:id="rId12" name="Drop Down 11">
              <controlPr defaultSize="0" autoLine="0" autoPict="0">
                <anchor moveWithCells="1">
                  <from>
                    <xdr:col>8</xdr:col>
                    <xdr:colOff>9525</xdr:colOff>
                    <xdr:row>9</xdr:row>
                    <xdr:rowOff>180975</xdr:rowOff>
                  </from>
                  <to>
                    <xdr:col>9</xdr:col>
                    <xdr:colOff>0</xdr:colOff>
                    <xdr:row>11</xdr:row>
                    <xdr:rowOff>0</xdr:rowOff>
                  </to>
                </anchor>
              </controlPr>
            </control>
          </mc:Choice>
        </mc:AlternateContent>
        <mc:AlternateContent xmlns:mc="http://schemas.openxmlformats.org/markup-compatibility/2006">
          <mc:Choice Requires="x14">
            <control shapeId="4108" r:id="rId13" name="Drop Down 12">
              <controlPr defaultSize="0" autoLine="0" autoPict="0">
                <anchor moveWithCells="1">
                  <from>
                    <xdr:col>8</xdr:col>
                    <xdr:colOff>9525</xdr:colOff>
                    <xdr:row>10</xdr:row>
                    <xdr:rowOff>180975</xdr:rowOff>
                  </from>
                  <to>
                    <xdr:col>9</xdr:col>
                    <xdr:colOff>0</xdr:colOff>
                    <xdr:row>12</xdr:row>
                    <xdr:rowOff>0</xdr:rowOff>
                  </to>
                </anchor>
              </controlPr>
            </control>
          </mc:Choice>
        </mc:AlternateContent>
        <mc:AlternateContent xmlns:mc="http://schemas.openxmlformats.org/markup-compatibility/2006">
          <mc:Choice Requires="x14">
            <control shapeId="4109" r:id="rId14" name="Drop Down 13">
              <controlPr defaultSize="0" autoLine="0" autoPict="0">
                <anchor moveWithCells="1">
                  <from>
                    <xdr:col>8</xdr:col>
                    <xdr:colOff>9525</xdr:colOff>
                    <xdr:row>11</xdr:row>
                    <xdr:rowOff>180975</xdr:rowOff>
                  </from>
                  <to>
                    <xdr:col>9</xdr:col>
                    <xdr:colOff>0</xdr:colOff>
                    <xdr:row>13</xdr:row>
                    <xdr:rowOff>0</xdr:rowOff>
                  </to>
                </anchor>
              </controlPr>
            </control>
          </mc:Choice>
        </mc:AlternateContent>
        <mc:AlternateContent xmlns:mc="http://schemas.openxmlformats.org/markup-compatibility/2006">
          <mc:Choice Requires="x14">
            <control shapeId="4110" r:id="rId15" name="Drop Down 14">
              <controlPr defaultSize="0" autoLine="0" autoPict="0">
                <anchor moveWithCells="1">
                  <from>
                    <xdr:col>8</xdr:col>
                    <xdr:colOff>9525</xdr:colOff>
                    <xdr:row>12</xdr:row>
                    <xdr:rowOff>180975</xdr:rowOff>
                  </from>
                  <to>
                    <xdr:col>9</xdr:col>
                    <xdr:colOff>0</xdr:colOff>
                    <xdr:row>14</xdr:row>
                    <xdr:rowOff>0</xdr:rowOff>
                  </to>
                </anchor>
              </controlPr>
            </control>
          </mc:Choice>
        </mc:AlternateContent>
        <mc:AlternateContent xmlns:mc="http://schemas.openxmlformats.org/markup-compatibility/2006">
          <mc:Choice Requires="x14">
            <control shapeId="4111" r:id="rId16" name="Drop Down 15">
              <controlPr defaultSize="0" autoLine="0" autoPict="0">
                <anchor moveWithCells="1">
                  <from>
                    <xdr:col>8</xdr:col>
                    <xdr:colOff>9525</xdr:colOff>
                    <xdr:row>13</xdr:row>
                    <xdr:rowOff>180975</xdr:rowOff>
                  </from>
                  <to>
                    <xdr:col>9</xdr:col>
                    <xdr:colOff>0</xdr:colOff>
                    <xdr:row>15</xdr:row>
                    <xdr:rowOff>0</xdr:rowOff>
                  </to>
                </anchor>
              </controlPr>
            </control>
          </mc:Choice>
        </mc:AlternateContent>
        <mc:AlternateContent xmlns:mc="http://schemas.openxmlformats.org/markup-compatibility/2006">
          <mc:Choice Requires="x14">
            <control shapeId="4112" r:id="rId17" name="Drop Down 16">
              <controlPr defaultSize="0" autoLine="0" autoPict="0">
                <anchor moveWithCells="1">
                  <from>
                    <xdr:col>8</xdr:col>
                    <xdr:colOff>9525</xdr:colOff>
                    <xdr:row>14</xdr:row>
                    <xdr:rowOff>180975</xdr:rowOff>
                  </from>
                  <to>
                    <xdr:col>9</xdr:col>
                    <xdr:colOff>0</xdr:colOff>
                    <xdr:row>16</xdr:row>
                    <xdr:rowOff>0</xdr:rowOff>
                  </to>
                </anchor>
              </controlPr>
            </control>
          </mc:Choice>
        </mc:AlternateContent>
        <mc:AlternateContent xmlns:mc="http://schemas.openxmlformats.org/markup-compatibility/2006">
          <mc:Choice Requires="x14">
            <control shapeId="4113" r:id="rId18" name="Drop Down 17">
              <controlPr defaultSize="0" autoLine="0" autoPict="0">
                <anchor moveWithCells="1">
                  <from>
                    <xdr:col>8</xdr:col>
                    <xdr:colOff>9525</xdr:colOff>
                    <xdr:row>15</xdr:row>
                    <xdr:rowOff>180975</xdr:rowOff>
                  </from>
                  <to>
                    <xdr:col>9</xdr:col>
                    <xdr:colOff>0</xdr:colOff>
                    <xdr:row>17</xdr:row>
                    <xdr:rowOff>0</xdr:rowOff>
                  </to>
                </anchor>
              </controlPr>
            </control>
          </mc:Choice>
        </mc:AlternateContent>
        <mc:AlternateContent xmlns:mc="http://schemas.openxmlformats.org/markup-compatibility/2006">
          <mc:Choice Requires="x14">
            <control shapeId="4114" r:id="rId19" name="Drop Down 18">
              <controlPr defaultSize="0" autoLine="0" autoPict="0">
                <anchor moveWithCells="1">
                  <from>
                    <xdr:col>8</xdr:col>
                    <xdr:colOff>9525</xdr:colOff>
                    <xdr:row>16</xdr:row>
                    <xdr:rowOff>180975</xdr:rowOff>
                  </from>
                  <to>
                    <xdr:col>9</xdr:col>
                    <xdr:colOff>0</xdr:colOff>
                    <xdr:row>18</xdr:row>
                    <xdr:rowOff>0</xdr:rowOff>
                  </to>
                </anchor>
              </controlPr>
            </control>
          </mc:Choice>
        </mc:AlternateContent>
        <mc:AlternateContent xmlns:mc="http://schemas.openxmlformats.org/markup-compatibility/2006">
          <mc:Choice Requires="x14">
            <control shapeId="4115" r:id="rId20" name="Drop Down 19">
              <controlPr defaultSize="0" autoLine="0" autoPict="0">
                <anchor moveWithCells="1">
                  <from>
                    <xdr:col>8</xdr:col>
                    <xdr:colOff>9525</xdr:colOff>
                    <xdr:row>17</xdr:row>
                    <xdr:rowOff>180975</xdr:rowOff>
                  </from>
                  <to>
                    <xdr:col>9</xdr:col>
                    <xdr:colOff>0</xdr:colOff>
                    <xdr:row>19</xdr:row>
                    <xdr:rowOff>0</xdr:rowOff>
                  </to>
                </anchor>
              </controlPr>
            </control>
          </mc:Choice>
        </mc:AlternateContent>
        <mc:AlternateContent xmlns:mc="http://schemas.openxmlformats.org/markup-compatibility/2006">
          <mc:Choice Requires="x14">
            <control shapeId="4116" r:id="rId21" name="Drop Down 20">
              <controlPr defaultSize="0" autoLine="0" autoPict="0">
                <anchor moveWithCells="1">
                  <from>
                    <xdr:col>8</xdr:col>
                    <xdr:colOff>9525</xdr:colOff>
                    <xdr:row>18</xdr:row>
                    <xdr:rowOff>180975</xdr:rowOff>
                  </from>
                  <to>
                    <xdr:col>9</xdr:col>
                    <xdr:colOff>0</xdr:colOff>
                    <xdr:row>20</xdr:row>
                    <xdr:rowOff>0</xdr:rowOff>
                  </to>
                </anchor>
              </controlPr>
            </control>
          </mc:Choice>
        </mc:AlternateContent>
        <mc:AlternateContent xmlns:mc="http://schemas.openxmlformats.org/markup-compatibility/2006">
          <mc:Choice Requires="x14">
            <control shapeId="4117" r:id="rId22" name="Drop Down 21">
              <controlPr defaultSize="0" autoLine="0" autoPict="0">
                <anchor moveWithCells="1">
                  <from>
                    <xdr:col>8</xdr:col>
                    <xdr:colOff>9525</xdr:colOff>
                    <xdr:row>19</xdr:row>
                    <xdr:rowOff>180975</xdr:rowOff>
                  </from>
                  <to>
                    <xdr:col>9</xdr:col>
                    <xdr:colOff>0</xdr:colOff>
                    <xdr:row>21</xdr:row>
                    <xdr:rowOff>0</xdr:rowOff>
                  </to>
                </anchor>
              </controlPr>
            </control>
          </mc:Choice>
        </mc:AlternateContent>
        <mc:AlternateContent xmlns:mc="http://schemas.openxmlformats.org/markup-compatibility/2006">
          <mc:Choice Requires="x14">
            <control shapeId="4118" r:id="rId23" name="Drop Down 22">
              <controlPr defaultSize="0" autoLine="0" autoPict="0">
                <anchor moveWithCells="1">
                  <from>
                    <xdr:col>8</xdr:col>
                    <xdr:colOff>9525</xdr:colOff>
                    <xdr:row>20</xdr:row>
                    <xdr:rowOff>180975</xdr:rowOff>
                  </from>
                  <to>
                    <xdr:col>9</xdr:col>
                    <xdr:colOff>0</xdr:colOff>
                    <xdr:row>22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35"/>
  <sheetViews>
    <sheetView workbookViewId="0">
      <selection activeCell="E2" sqref="E2:H2"/>
    </sheetView>
  </sheetViews>
  <sheetFormatPr defaultRowHeight="12.75" x14ac:dyDescent="0.2"/>
  <sheetData>
    <row r="1" spans="1:17" ht="26.25" x14ac:dyDescent="0.4">
      <c r="C1" s="316" t="s">
        <v>190</v>
      </c>
      <c r="D1" s="316"/>
      <c r="E1" s="316"/>
      <c r="F1" s="316"/>
      <c r="G1" s="316"/>
      <c r="H1" s="316"/>
      <c r="I1" s="316"/>
      <c r="J1" s="316"/>
      <c r="K1" s="316"/>
      <c r="L1" s="316"/>
      <c r="M1" s="316"/>
      <c r="N1" s="316"/>
      <c r="O1" s="316"/>
      <c r="P1" s="316"/>
      <c r="Q1" s="316"/>
    </row>
    <row r="2" spans="1:17" ht="16.5" customHeight="1" x14ac:dyDescent="0.4">
      <c r="C2" s="194"/>
      <c r="D2" s="196" t="s">
        <v>75</v>
      </c>
      <c r="E2" s="328"/>
      <c r="F2" s="328"/>
      <c r="G2" s="328"/>
      <c r="H2" s="328"/>
      <c r="I2" s="194"/>
      <c r="J2" s="194"/>
      <c r="K2" s="194"/>
      <c r="L2" s="194"/>
      <c r="M2" s="196" t="s">
        <v>191</v>
      </c>
      <c r="N2" s="317"/>
      <c r="O2" s="317"/>
      <c r="P2" s="317"/>
      <c r="Q2" s="194"/>
    </row>
    <row r="3" spans="1:17" ht="16.5" customHeight="1" thickBot="1" x14ac:dyDescent="0.45">
      <c r="C3" s="195"/>
      <c r="D3" s="195"/>
      <c r="E3" s="195"/>
      <c r="F3" s="195"/>
      <c r="G3" s="195"/>
      <c r="H3" s="195"/>
      <c r="I3" s="195"/>
      <c r="J3" s="195"/>
      <c r="K3" s="195"/>
      <c r="L3" s="195"/>
      <c r="M3" s="195"/>
      <c r="N3" s="195"/>
      <c r="O3" s="195"/>
      <c r="P3" s="195"/>
      <c r="Q3" s="195"/>
    </row>
    <row r="4" spans="1:17" ht="16.5" customHeight="1" thickTop="1" thickBot="1" x14ac:dyDescent="0.25">
      <c r="A4" s="329" t="s">
        <v>249</v>
      </c>
      <c r="B4" s="330"/>
      <c r="C4" s="323">
        <v>10</v>
      </c>
      <c r="D4" s="324"/>
      <c r="E4" s="324"/>
      <c r="F4" s="324"/>
      <c r="G4" s="324"/>
      <c r="H4" s="325" t="str">
        <f>VLOOKUP(C4+1,'FC Links'!A2:C25,2)</f>
        <v>November</v>
      </c>
      <c r="I4" s="326"/>
      <c r="J4" s="326"/>
      <c r="K4" s="326"/>
      <c r="L4" s="327"/>
      <c r="M4" s="318" t="str">
        <f>VLOOKUP(C4+2,'FC Links'!A2:C25,2)</f>
        <v>December</v>
      </c>
      <c r="N4" s="322"/>
      <c r="O4" s="322"/>
      <c r="P4" s="322"/>
      <c r="Q4" s="319"/>
    </row>
    <row r="5" spans="1:17" ht="30" customHeight="1" thickTop="1" thickBot="1" x14ac:dyDescent="0.25">
      <c r="A5" s="318" t="s">
        <v>189</v>
      </c>
      <c r="B5" s="319"/>
      <c r="C5" s="177" t="s">
        <v>173</v>
      </c>
      <c r="D5" s="177" t="s">
        <v>174</v>
      </c>
      <c r="E5" s="177" t="s">
        <v>175</v>
      </c>
      <c r="F5" s="177" t="s">
        <v>176</v>
      </c>
      <c r="G5" s="178" t="s">
        <v>170</v>
      </c>
      <c r="H5" s="177" t="s">
        <v>173</v>
      </c>
      <c r="I5" s="177" t="s">
        <v>174</v>
      </c>
      <c r="J5" s="177" t="s">
        <v>175</v>
      </c>
      <c r="K5" s="177" t="s">
        <v>176</v>
      </c>
      <c r="L5" s="178" t="s">
        <v>170</v>
      </c>
      <c r="M5" s="177" t="s">
        <v>173</v>
      </c>
      <c r="N5" s="177" t="s">
        <v>174</v>
      </c>
      <c r="O5" s="177" t="s">
        <v>175</v>
      </c>
      <c r="P5" s="177" t="s">
        <v>176</v>
      </c>
      <c r="Q5" s="178" t="s">
        <v>170</v>
      </c>
    </row>
    <row r="6" spans="1:17" ht="17.100000000000001" customHeight="1" thickTop="1" x14ac:dyDescent="0.2">
      <c r="A6" s="273">
        <v>1</v>
      </c>
      <c r="B6" s="175"/>
      <c r="C6" s="179" t="str">
        <f>IF(VLOOKUP($A$6,'FC Links'!$F$1:$H$21,3)=0,"",VLOOKUP($A$6,'FC Links'!$F$1:$H$21,3)*VLOOKUP($C$4,'FC Links'!$A$2:$C$24,3))</f>
        <v/>
      </c>
      <c r="D6" s="197"/>
      <c r="E6" s="181" t="str">
        <f>IF(C6="","",D6/C6)</f>
        <v/>
      </c>
      <c r="F6" s="197"/>
      <c r="G6" s="182" t="str">
        <f>IF(C6="","",-(D6-C6))</f>
        <v/>
      </c>
      <c r="H6" s="183" t="str">
        <f>IF(VLOOKUP($A$6,'FC Links'!$F$1:$H$21,3)=0,"",VLOOKUP($A$6,'FC Links'!$F$1:$H$21,3)*VLOOKUP($C$4+1,'FC Links'!$A$2:$C$24,3))</f>
        <v/>
      </c>
      <c r="I6" s="197"/>
      <c r="J6" s="181" t="str">
        <f>IF(H6="","",I6/H6)</f>
        <v/>
      </c>
      <c r="K6" s="197"/>
      <c r="L6" s="182" t="str">
        <f>IF(H6="","",-(I6-H6))</f>
        <v/>
      </c>
      <c r="M6" s="183" t="str">
        <f>IF(VLOOKUP($A$6,'FC Links'!$F$1:$H$21,3)=0,"",VLOOKUP($A$6,'FC Links'!$F$1:$H$21,3)*VLOOKUP($C$4+2,'FC Links'!$A$2:$C$24,3))</f>
        <v/>
      </c>
      <c r="N6" s="197"/>
      <c r="O6" s="181" t="str">
        <f>IF(M6="","",N6/M6)</f>
        <v/>
      </c>
      <c r="P6" s="197"/>
      <c r="Q6" s="182" t="str">
        <f>IF(M6="","",-(N6-M6))</f>
        <v/>
      </c>
    </row>
    <row r="7" spans="1:17" ht="17.100000000000001" customHeight="1" x14ac:dyDescent="0.2">
      <c r="A7" s="273">
        <v>1</v>
      </c>
      <c r="B7" s="175"/>
      <c r="C7" s="184" t="str">
        <f>IF(VLOOKUP($A$7,'FC Links'!$F$1:$H$21,3)=0,"",VLOOKUP($A$7,'FC Links'!$F$1:$H$21,3)*VLOOKUP($C$4,'FC Links'!$A$2:$C$24,3))</f>
        <v/>
      </c>
      <c r="D7" s="198"/>
      <c r="E7" s="186" t="str">
        <f>IF(C7="","",D7/C7)</f>
        <v/>
      </c>
      <c r="F7" s="198"/>
      <c r="G7" s="174" t="str">
        <f>IF(C7="","",-(D7-C7))</f>
        <v/>
      </c>
      <c r="H7" s="187" t="str">
        <f>IF(VLOOKUP($A$7,'FC Links'!$F$1:$H$21,3)=0,"",VLOOKUP($A$7,'FC Links'!$F$1:$H$21,3)*VLOOKUP($C$4+1,'FC Links'!$A$2:$C$24,3))</f>
        <v/>
      </c>
      <c r="I7" s="198"/>
      <c r="J7" s="186" t="str">
        <f>IF(H7="","",I7/H7)</f>
        <v/>
      </c>
      <c r="K7" s="198"/>
      <c r="L7" s="174" t="str">
        <f>IF(H7="","",-(I7-H7))</f>
        <v/>
      </c>
      <c r="M7" s="187" t="str">
        <f>IF(VLOOKUP($A$7,'FC Links'!$F$1:$H$21,3)=0,"",VLOOKUP($A$7,'FC Links'!$F$1:$H$21,3)*VLOOKUP($C$4+2,'FC Links'!$A$2:$C$24,3))</f>
        <v/>
      </c>
      <c r="N7" s="198"/>
      <c r="O7" s="186" t="str">
        <f>IF(M7="","",N7/M7)</f>
        <v/>
      </c>
      <c r="P7" s="198"/>
      <c r="Q7" s="174" t="str">
        <f>IF(M7="","",-(N7-M7))</f>
        <v/>
      </c>
    </row>
    <row r="8" spans="1:17" ht="17.100000000000001" customHeight="1" x14ac:dyDescent="0.2">
      <c r="A8" s="273">
        <v>1</v>
      </c>
      <c r="B8" s="175"/>
      <c r="C8" s="184" t="str">
        <f>IF(VLOOKUP($A$8,'FC Links'!$F$1:$H$21,3)=0,"",VLOOKUP($A$8,'FC Links'!$F$1:$H$21,3)*VLOOKUP($C$4,'FC Links'!$A$2:$C$24,3))</f>
        <v/>
      </c>
      <c r="D8" s="198"/>
      <c r="E8" s="186" t="str">
        <f>IF(C8="","",D8/C8)</f>
        <v/>
      </c>
      <c r="F8" s="198"/>
      <c r="G8" s="174" t="str">
        <f>IF(C8="","",-(D8-C8))</f>
        <v/>
      </c>
      <c r="H8" s="187" t="str">
        <f>IF(VLOOKUP($A$8,'FC Links'!$F$1:$H$21,3)=0,"",VLOOKUP($A$8,'FC Links'!$F$1:$H$21,3)*VLOOKUP($C$4+1,'FC Links'!$A$2:$C$24,3))</f>
        <v/>
      </c>
      <c r="I8" s="198"/>
      <c r="J8" s="186" t="str">
        <f>IF(H8="","",I8/H8)</f>
        <v/>
      </c>
      <c r="K8" s="198"/>
      <c r="L8" s="174" t="str">
        <f>IF(H8="","",-(I8-H8))</f>
        <v/>
      </c>
      <c r="M8" s="187" t="str">
        <f>IF(VLOOKUP($A$8,'FC Links'!$F$1:$H$21,3)=0,"",VLOOKUP($A$8,'FC Links'!$F$1:$H$21,3)*VLOOKUP($C$4+2,'FC Links'!$A$2:$C$24,3))</f>
        <v/>
      </c>
      <c r="N8" s="198"/>
      <c r="O8" s="186" t="str">
        <f>IF(M8="","",N8/M8)</f>
        <v/>
      </c>
      <c r="P8" s="198"/>
      <c r="Q8" s="174" t="str">
        <f>IF(M8="","",-(N8-M8))</f>
        <v/>
      </c>
    </row>
    <row r="9" spans="1:17" ht="17.100000000000001" customHeight="1" x14ac:dyDescent="0.2">
      <c r="A9" s="273">
        <v>1</v>
      </c>
      <c r="B9" s="175"/>
      <c r="C9" s="184" t="str">
        <f>IF(VLOOKUP($A$9,'FC Links'!$F$1:$H$21,3)=0,"",VLOOKUP($A$9,'FC Links'!$F$1:$H$21,3)*VLOOKUP($C$4,'FC Links'!$A$2:$C$24,3))</f>
        <v/>
      </c>
      <c r="D9" s="198"/>
      <c r="E9" s="186" t="str">
        <f>IF(C9="","",D9/C9)</f>
        <v/>
      </c>
      <c r="F9" s="198"/>
      <c r="G9" s="174" t="str">
        <f>IF(C9="","",-(D9-C9))</f>
        <v/>
      </c>
      <c r="H9" s="187" t="str">
        <f>IF(VLOOKUP($A$9,'FC Links'!$F$1:$H$21,3)=0,"",VLOOKUP($A$9,'FC Links'!$F$1:$H$21,3)*VLOOKUP($C$4+1,'FC Links'!$A$2:$C$24,3))</f>
        <v/>
      </c>
      <c r="I9" s="198"/>
      <c r="J9" s="186" t="str">
        <f>IF(H9="","",I9/H9)</f>
        <v/>
      </c>
      <c r="K9" s="198"/>
      <c r="L9" s="174" t="str">
        <f>IF(H9="","",-(I9-H9))</f>
        <v/>
      </c>
      <c r="M9" s="187" t="str">
        <f>IF(VLOOKUP($A$9,'FC Links'!$F$1:$H$21,3)=0,"",VLOOKUP($A$9,'FC Links'!$F$1:$H$21,3)*VLOOKUP($C$4+2,'FC Links'!$A$2:$C$24,3))</f>
        <v/>
      </c>
      <c r="N9" s="198"/>
      <c r="O9" s="186" t="str">
        <f>IF(M9="","",N9/M9)</f>
        <v/>
      </c>
      <c r="P9" s="198"/>
      <c r="Q9" s="174" t="str">
        <f>IF(M9="","",-(N9-M9))</f>
        <v/>
      </c>
    </row>
    <row r="10" spans="1:17" ht="17.100000000000001" customHeight="1" thickBot="1" x14ac:dyDescent="0.25">
      <c r="A10" s="273">
        <v>1</v>
      </c>
      <c r="B10" s="175"/>
      <c r="C10" s="188" t="str">
        <f>IF(VLOOKUP($A$10,'FC Links'!$F$1:$H$21,3)=0,"",VLOOKUP($A$10,'FC Links'!$F$1:$H$21,3)*VLOOKUP($C$4,'FC Links'!$A$2:$C$24,3))</f>
        <v/>
      </c>
      <c r="D10" s="199"/>
      <c r="E10" s="189" t="str">
        <f>IF(C10="","",D10/C10)</f>
        <v/>
      </c>
      <c r="F10" s="199"/>
      <c r="G10" s="174" t="str">
        <f>IF(C10="","",-(D10-C10))</f>
        <v/>
      </c>
      <c r="H10" s="191" t="str">
        <f>IF(VLOOKUP($A$10,'FC Links'!$F$1:$H$21,3)=0,"",VLOOKUP($A$10,'FC Links'!$F$1:$H$21,3)*VLOOKUP($C$4+1,'FC Links'!$A$2:$C$24,3))</f>
        <v/>
      </c>
      <c r="I10" s="199"/>
      <c r="J10" s="189" t="str">
        <f>IF(H10="","",I10/H10)</f>
        <v/>
      </c>
      <c r="K10" s="199"/>
      <c r="L10" s="174" t="str">
        <f>IF(H10="","",-(I10-H10))</f>
        <v/>
      </c>
      <c r="M10" s="191" t="str">
        <f>IF(VLOOKUP($A$10,'FC Links'!$F$1:$H$21,3)=0,"",VLOOKUP($A$10,'FC Links'!$F$1:$H$21,3)*VLOOKUP($C$4+2,'FC Links'!$A$2:$C$24,3))</f>
        <v/>
      </c>
      <c r="N10" s="199"/>
      <c r="O10" s="189" t="str">
        <f>IF(M10="","",N10/M10)</f>
        <v/>
      </c>
      <c r="P10" s="199"/>
      <c r="Q10" s="190" t="str">
        <f>IF(M10="","",-(N10-M10))</f>
        <v/>
      </c>
    </row>
    <row r="11" spans="1:17" ht="17.100000000000001" customHeight="1" thickTop="1" thickBot="1" x14ac:dyDescent="0.25">
      <c r="B11" s="185"/>
      <c r="C11" s="193"/>
      <c r="G11" s="176"/>
      <c r="L11" s="176"/>
      <c r="M11" s="176"/>
    </row>
    <row r="12" spans="1:17" ht="17.100000000000001" customHeight="1" thickTop="1" thickBot="1" x14ac:dyDescent="0.25">
      <c r="A12" s="320"/>
      <c r="B12" s="321"/>
      <c r="C12" s="318" t="str">
        <f>VLOOKUP(C4+3,'FC Links'!A2:C25,2)</f>
        <v>January</v>
      </c>
      <c r="D12" s="322"/>
      <c r="E12" s="322"/>
      <c r="F12" s="322"/>
      <c r="G12" s="319"/>
      <c r="H12" s="322" t="str">
        <f>VLOOKUP(C4+4,'FC Links'!A2:C25,2)</f>
        <v>February</v>
      </c>
      <c r="I12" s="322"/>
      <c r="J12" s="322"/>
      <c r="K12" s="322"/>
      <c r="L12" s="319"/>
      <c r="M12" s="318" t="str">
        <f>VLOOKUP(C4+5,'FC Links'!A2:C25,2)</f>
        <v>March</v>
      </c>
      <c r="N12" s="322"/>
      <c r="O12" s="322"/>
      <c r="P12" s="322"/>
      <c r="Q12" s="319"/>
    </row>
    <row r="13" spans="1:17" ht="30" customHeight="1" thickTop="1" thickBot="1" x14ac:dyDescent="0.25">
      <c r="A13" s="331" t="s">
        <v>189</v>
      </c>
      <c r="B13" s="332"/>
      <c r="C13" s="177" t="s">
        <v>173</v>
      </c>
      <c r="D13" s="177" t="s">
        <v>174</v>
      </c>
      <c r="E13" s="177" t="s">
        <v>175</v>
      </c>
      <c r="F13" s="177" t="s">
        <v>176</v>
      </c>
      <c r="G13" s="178" t="s">
        <v>170</v>
      </c>
      <c r="H13" s="177" t="s">
        <v>173</v>
      </c>
      <c r="I13" s="177" t="s">
        <v>174</v>
      </c>
      <c r="J13" s="177" t="s">
        <v>175</v>
      </c>
      <c r="K13" s="177" t="s">
        <v>176</v>
      </c>
      <c r="L13" s="178" t="s">
        <v>170</v>
      </c>
      <c r="M13" s="177" t="s">
        <v>173</v>
      </c>
      <c r="N13" s="177" t="s">
        <v>174</v>
      </c>
      <c r="O13" s="177" t="s">
        <v>175</v>
      </c>
      <c r="P13" s="177" t="s">
        <v>176</v>
      </c>
      <c r="Q13" s="178" t="s">
        <v>170</v>
      </c>
    </row>
    <row r="14" spans="1:17" ht="17.100000000000001" customHeight="1" thickTop="1" x14ac:dyDescent="0.2">
      <c r="A14" t="str">
        <f>VLOOKUP($A6,'FC Links'!$F$1:$G$21,2)</f>
        <v>-</v>
      </c>
      <c r="B14" s="175"/>
      <c r="C14" s="179" t="str">
        <f>IF(VLOOKUP($A$6,'FC Links'!$F$1:$H$21,3)*30=0,"",VLOOKUP($A$6,'FC Links'!$F$1:$H$21,3)*VLOOKUP($C$4+3,'FC Links'!$A$2:$C$24,3))</f>
        <v/>
      </c>
      <c r="D14" s="197"/>
      <c r="E14" s="181" t="str">
        <f>IF(C14="","",D14/C14)</f>
        <v/>
      </c>
      <c r="F14" s="197"/>
      <c r="G14" s="174" t="str">
        <f>IF(C14="","",-(D14-C14))</f>
        <v/>
      </c>
      <c r="H14" s="183" t="str">
        <f>IF(VLOOKUP($A$6,'FC Links'!$F$1:$H$21,3)=0,"",VLOOKUP($A$6,'FC Links'!$F$1:$H$21,3)*VLOOKUP($C$4+4,'FC Links'!$A$2:$C$24,3))</f>
        <v/>
      </c>
      <c r="I14" s="197"/>
      <c r="J14" s="181" t="str">
        <f>IF(H14="","",I14/H14)</f>
        <v/>
      </c>
      <c r="K14" s="197"/>
      <c r="L14" s="182" t="str">
        <f>IF(H14="","",-(I14-H14))</f>
        <v/>
      </c>
      <c r="M14" s="183" t="str">
        <f>IF(VLOOKUP($A$6,'FC Links'!$F$1:$H$21,3)=0,"",VLOOKUP($A$6,'FC Links'!$F$1:$H$21,3)*VLOOKUP($C$4+5,'FC Links'!$A$2:$C$24,3))</f>
        <v/>
      </c>
      <c r="N14" s="197"/>
      <c r="O14" s="181" t="str">
        <f>IF(M14="","",N14/M14)</f>
        <v/>
      </c>
      <c r="P14" s="197"/>
      <c r="Q14" s="182" t="str">
        <f>IF(M14="","",-(N14-M14))</f>
        <v/>
      </c>
    </row>
    <row r="15" spans="1:17" ht="17.100000000000001" customHeight="1" x14ac:dyDescent="0.2">
      <c r="A15" t="str">
        <f>VLOOKUP($A7,'FC Links'!$F$1:$G$21,2)</f>
        <v>-</v>
      </c>
      <c r="B15" s="175"/>
      <c r="C15" s="184" t="str">
        <f>IF(VLOOKUP($A$7,'FC Links'!$F$1:$H$21,3)=0,"",VLOOKUP($A$7,'FC Links'!$F$1:$H$21,3)*VLOOKUP($C$4+3,'FC Links'!$A$2:$C$24,3))</f>
        <v/>
      </c>
      <c r="D15" s="198"/>
      <c r="E15" s="186" t="str">
        <f>IF(C15="","",D15/C15)</f>
        <v/>
      </c>
      <c r="F15" s="198"/>
      <c r="G15" s="174" t="str">
        <f>IF(C15="","",-(D15-C15))</f>
        <v/>
      </c>
      <c r="H15" s="187" t="str">
        <f>IF(VLOOKUP($A$7,'FC Links'!$F$1:$H$21,3)=0,"",VLOOKUP($A$7,'FC Links'!$F$1:$H$21,3)*VLOOKUP($C$4+4,'FC Links'!$A$2:$C$24,3))</f>
        <v/>
      </c>
      <c r="I15" s="198"/>
      <c r="J15" s="186" t="str">
        <f>IF(H15="","",I15/H15)</f>
        <v/>
      </c>
      <c r="K15" s="198"/>
      <c r="L15" s="174" t="str">
        <f>IF(H15="","",-(I15-H15))</f>
        <v/>
      </c>
      <c r="M15" s="187" t="str">
        <f>IF(VLOOKUP($A$7,'FC Links'!$F$1:$H$21,3)=0,"",VLOOKUP($A$7,'FC Links'!$F$1:$H$21,3)*VLOOKUP($C$4+5,'FC Links'!$A$2:$C$24,3))</f>
        <v/>
      </c>
      <c r="N15" s="198"/>
      <c r="O15" s="186" t="str">
        <f>IF(M15="","",N15/M15)</f>
        <v/>
      </c>
      <c r="P15" s="198"/>
      <c r="Q15" s="174" t="str">
        <f>IF(M15="","",-(N15-M15))</f>
        <v/>
      </c>
    </row>
    <row r="16" spans="1:17" ht="17.100000000000001" customHeight="1" x14ac:dyDescent="0.2">
      <c r="A16" t="str">
        <f>VLOOKUP($A8,'FC Links'!$F$1:$G$21,2)</f>
        <v>-</v>
      </c>
      <c r="B16" s="175"/>
      <c r="C16" s="184" t="str">
        <f>IF(VLOOKUP($A$8,'FC Links'!$F$1:$H$21,3)=0,"",VLOOKUP($A$8,'FC Links'!$F$1:$H$21,3)*VLOOKUP($C$4+3,'FC Links'!$A$2:$C$24,3))</f>
        <v/>
      </c>
      <c r="D16" s="198"/>
      <c r="E16" s="186" t="str">
        <f>IF(C16="","",D16/C16)</f>
        <v/>
      </c>
      <c r="F16" s="198"/>
      <c r="G16" s="174" t="str">
        <f>IF(C16="","",-(D16-C16))</f>
        <v/>
      </c>
      <c r="H16" s="187" t="str">
        <f>IF(VLOOKUP($A$8,'FC Links'!$F$1:$H$21,3)=0,"",VLOOKUP($A$8,'FC Links'!$F$1:$H$21,3)*VLOOKUP($C$4+4,'FC Links'!$A$2:$C$24,3))</f>
        <v/>
      </c>
      <c r="I16" s="198"/>
      <c r="J16" s="186" t="str">
        <f>IF(H16="","",I16/H16)</f>
        <v/>
      </c>
      <c r="K16" s="198"/>
      <c r="L16" s="174" t="str">
        <f>IF(H16="","",-(I16-H16))</f>
        <v/>
      </c>
      <c r="M16" s="187" t="str">
        <f>IF(VLOOKUP($A$8,'FC Links'!$F$1:$H$21,3)=0,"",VLOOKUP($A$8,'FC Links'!$F$1:$H$21,3)*VLOOKUP($C$4+5,'FC Links'!$A$2:$C$24,3))</f>
        <v/>
      </c>
      <c r="N16" s="198"/>
      <c r="O16" s="186" t="str">
        <f>IF(M16="","",N16/M16)</f>
        <v/>
      </c>
      <c r="P16" s="198"/>
      <c r="Q16" s="174" t="str">
        <f>IF(M16="","",-(N16-M16))</f>
        <v/>
      </c>
    </row>
    <row r="17" spans="1:17" ht="17.100000000000001" customHeight="1" x14ac:dyDescent="0.2">
      <c r="A17" t="str">
        <f>VLOOKUP($A9,'FC Links'!$F$1:$G$21,2)</f>
        <v>-</v>
      </c>
      <c r="B17" s="175"/>
      <c r="C17" s="184" t="str">
        <f>IF(VLOOKUP($A$9,'FC Links'!$F$1:$H$21,3)=0,"",VLOOKUP($A$9,'FC Links'!$F$1:$H$21,3)*VLOOKUP($C$4+3,'FC Links'!$A$2:$C$24,3))</f>
        <v/>
      </c>
      <c r="D17" s="198"/>
      <c r="E17" s="186" t="str">
        <f>IF(C17="","",D17/C17)</f>
        <v/>
      </c>
      <c r="F17" s="198"/>
      <c r="G17" s="174" t="str">
        <f>IF(C17="","",-(D17-C17))</f>
        <v/>
      </c>
      <c r="H17" s="187" t="str">
        <f>IF(VLOOKUP($A$9,'FC Links'!$F$1:$H$21,3)=0,"",VLOOKUP($A$9,'FC Links'!$F$1:$H$21,3)*VLOOKUP($C$4+4,'FC Links'!$A$2:$C$24,3))</f>
        <v/>
      </c>
      <c r="I17" s="198"/>
      <c r="J17" s="186" t="str">
        <f>IF(H17="","",I17/H17)</f>
        <v/>
      </c>
      <c r="K17" s="198"/>
      <c r="L17" s="174" t="str">
        <f>IF(H17="","",-(I17-H17))</f>
        <v/>
      </c>
      <c r="M17" s="187" t="str">
        <f>IF(VLOOKUP($A$9,'FC Links'!$F$1:$H$21,3)=0,"",VLOOKUP($A$9,'FC Links'!$F$1:$H$21,3)*VLOOKUP($C$4+5,'FC Links'!$A$2:$C$24,3))</f>
        <v/>
      </c>
      <c r="N17" s="198"/>
      <c r="O17" s="186" t="str">
        <f>IF(M17="","",N17/M17)</f>
        <v/>
      </c>
      <c r="P17" s="198"/>
      <c r="Q17" s="174" t="str">
        <f>IF(M17="","",-(N17-M17))</f>
        <v/>
      </c>
    </row>
    <row r="18" spans="1:17" ht="17.100000000000001" customHeight="1" thickBot="1" x14ac:dyDescent="0.25">
      <c r="A18" t="str">
        <f>VLOOKUP($A10,'FC Links'!$F$1:$G$21,2)</f>
        <v>-</v>
      </c>
      <c r="B18" s="175"/>
      <c r="C18" s="188" t="str">
        <f>IF(VLOOKUP($A$10,'FC Links'!$F$1:$H$21,3)=0,"",VLOOKUP($A$10,'FC Links'!$F$1:$H$21,3)*VLOOKUP($C$4+3,'FC Links'!$A$2:$C$24,3))</f>
        <v/>
      </c>
      <c r="D18" s="199"/>
      <c r="E18" s="189" t="str">
        <f>IF(C18="","",D18/C18)</f>
        <v/>
      </c>
      <c r="F18" s="199"/>
      <c r="G18" s="190" t="str">
        <f>IF(C18="","",-(D18-C18))</f>
        <v/>
      </c>
      <c r="H18" s="191" t="str">
        <f>IF(VLOOKUP($A$10,'FC Links'!$F$1:$H$21,3)=0,"",VLOOKUP($A$10,'FC Links'!$F$1:$H$21,3)*VLOOKUP($C$4+4,'FC Links'!$A$2:$C$24,3))</f>
        <v/>
      </c>
      <c r="I18" s="199"/>
      <c r="J18" s="189" t="str">
        <f>IF(H18="","",I18/H18)</f>
        <v/>
      </c>
      <c r="K18" s="199"/>
      <c r="L18" s="190" t="str">
        <f>IF(H18="","",-(I18-H18))</f>
        <v/>
      </c>
      <c r="M18" s="191" t="str">
        <f>IF(VLOOKUP($A$10,'FC Links'!$F$1:$H$21,3)=0,"",VLOOKUP($A$10,'FC Links'!$F$1:$H$21,3)*VLOOKUP($C$4+5,'FC Links'!$A$2:$C$24,3))</f>
        <v/>
      </c>
      <c r="N18" s="199"/>
      <c r="O18" s="189" t="str">
        <f>IF(M18="","",N18/M18)</f>
        <v/>
      </c>
      <c r="P18" s="199"/>
      <c r="Q18" s="190" t="str">
        <f>IF(M18="","",-(N18-M18))</f>
        <v/>
      </c>
    </row>
    <row r="19" spans="1:17" ht="17.100000000000001" customHeight="1" thickTop="1" thickBot="1" x14ac:dyDescent="0.25">
      <c r="B19" s="185"/>
      <c r="C19" s="193"/>
      <c r="G19" s="185"/>
      <c r="H19" s="176"/>
      <c r="L19" s="185"/>
      <c r="M19" s="176"/>
    </row>
    <row r="20" spans="1:17" ht="17.100000000000001" customHeight="1" thickTop="1" thickBot="1" x14ac:dyDescent="0.25">
      <c r="A20" s="320"/>
      <c r="B20" s="321"/>
      <c r="C20" s="318" t="str">
        <f>VLOOKUP(C4+6,'FC Links'!A2:C25,2)</f>
        <v>April</v>
      </c>
      <c r="D20" s="322"/>
      <c r="E20" s="322"/>
      <c r="F20" s="322"/>
      <c r="G20" s="319"/>
      <c r="H20" s="322" t="str">
        <f>VLOOKUP(C4+7,'FC Links'!A2:C25,2)</f>
        <v>May</v>
      </c>
      <c r="I20" s="322"/>
      <c r="J20" s="322"/>
      <c r="K20" s="322"/>
      <c r="L20" s="319"/>
      <c r="M20" s="318" t="str">
        <f>VLOOKUP(C4+8,'FC Links'!A2:C25,2)</f>
        <v>June</v>
      </c>
      <c r="N20" s="322"/>
      <c r="O20" s="322"/>
      <c r="P20" s="322"/>
      <c r="Q20" s="319"/>
    </row>
    <row r="21" spans="1:17" ht="30" customHeight="1" thickTop="1" thickBot="1" x14ac:dyDescent="0.25">
      <c r="A21" s="331" t="s">
        <v>189</v>
      </c>
      <c r="B21" s="332"/>
      <c r="C21" s="192" t="s">
        <v>173</v>
      </c>
      <c r="D21" s="177" t="s">
        <v>174</v>
      </c>
      <c r="E21" s="177" t="s">
        <v>175</v>
      </c>
      <c r="F21" s="177" t="s">
        <v>176</v>
      </c>
      <c r="G21" s="178" t="s">
        <v>170</v>
      </c>
      <c r="H21" s="177" t="s">
        <v>173</v>
      </c>
      <c r="I21" s="177" t="s">
        <v>174</v>
      </c>
      <c r="J21" s="177" t="s">
        <v>175</v>
      </c>
      <c r="K21" s="177" t="s">
        <v>176</v>
      </c>
      <c r="L21" s="178" t="s">
        <v>170</v>
      </c>
      <c r="M21" s="177" t="s">
        <v>173</v>
      </c>
      <c r="N21" s="177" t="s">
        <v>174</v>
      </c>
      <c r="O21" s="177" t="s">
        <v>175</v>
      </c>
      <c r="P21" s="177" t="s">
        <v>176</v>
      </c>
      <c r="Q21" s="178" t="s">
        <v>170</v>
      </c>
    </row>
    <row r="22" spans="1:17" ht="17.100000000000001" customHeight="1" thickTop="1" x14ac:dyDescent="0.2">
      <c r="A22" t="str">
        <f>VLOOKUP($A6,'FC Links'!$F$1:$G$21,2)</f>
        <v>-</v>
      </c>
      <c r="B22" s="175"/>
      <c r="C22" s="184" t="str">
        <f>IF(VLOOKUP($A$6,'FC Links'!$F$1:$H$21,3)=0,"",VLOOKUP($A$6,'FC Links'!$F$1:$H$21,3)*VLOOKUP($C$4+6,'FC Links'!$A$2:$C$24,3))</f>
        <v/>
      </c>
      <c r="D22" s="198"/>
      <c r="E22" s="181" t="str">
        <f>IF(C22="","",D22/C22)</f>
        <v/>
      </c>
      <c r="F22" s="198"/>
      <c r="G22" s="182" t="str">
        <f>IF(C22="","",-(D22-C22))</f>
        <v/>
      </c>
      <c r="H22" s="187" t="str">
        <f>IF(VLOOKUP($A$6,'FC Links'!$F$1:$H$21,3)=0,"",VLOOKUP($A$6,'FC Links'!$F$1:$H$21,3)*VLOOKUP($C$4+7,'FC Links'!$A$2:$C$24,3))</f>
        <v/>
      </c>
      <c r="I22" s="198"/>
      <c r="J22" s="181" t="str">
        <f>IF(H22="","",I22/H22)</f>
        <v/>
      </c>
      <c r="K22" s="198"/>
      <c r="L22" s="182" t="str">
        <f>IF(H22="","",-(I22-H22))</f>
        <v/>
      </c>
      <c r="M22" s="187" t="str">
        <f>IF(VLOOKUP($A$6,'FC Links'!$F$1:$H$21,3)=0,"",VLOOKUP($A$6,'FC Links'!$F$1:$H$21,3)*VLOOKUP($C$4+8,'FC Links'!$A$2:$C$24,3))</f>
        <v/>
      </c>
      <c r="N22" s="198"/>
      <c r="O22" s="181" t="str">
        <f>IF(M22="","",N22/M22)</f>
        <v/>
      </c>
      <c r="P22" s="198"/>
      <c r="Q22" s="182" t="str">
        <f>IF(M22="","",-(N22-M22))</f>
        <v/>
      </c>
    </row>
    <row r="23" spans="1:17" ht="17.100000000000001" customHeight="1" x14ac:dyDescent="0.2">
      <c r="A23" t="str">
        <f>VLOOKUP($A7,'FC Links'!$F$1:$G$21,2)</f>
        <v>-</v>
      </c>
      <c r="B23" s="175"/>
      <c r="C23" s="184" t="str">
        <f>IF(VLOOKUP($A$7,'FC Links'!$F$1:$H$21,3)=0,"",VLOOKUP($A$7,'FC Links'!$F$1:$H$21,3)*VLOOKUP($C$4+6,'FC Links'!$A$2:$C$24,3))</f>
        <v/>
      </c>
      <c r="D23" s="198"/>
      <c r="E23" s="186" t="str">
        <f>IF(C23="","",D23/C23)</f>
        <v/>
      </c>
      <c r="F23" s="198"/>
      <c r="G23" s="174" t="str">
        <f>IF(C23="","",-(D23-C23))</f>
        <v/>
      </c>
      <c r="H23" s="187" t="str">
        <f>IF(VLOOKUP($A$7,'FC Links'!$F$1:$H$21,3)=0,"",VLOOKUP($A$7,'FC Links'!$F$1:$H$21,3)*VLOOKUP($C$4+7,'FC Links'!$A$2:$C$24,3))</f>
        <v/>
      </c>
      <c r="I23" s="198"/>
      <c r="J23" s="186" t="str">
        <f>IF(H23="","",I23/H23)</f>
        <v/>
      </c>
      <c r="K23" s="198"/>
      <c r="L23" s="174" t="str">
        <f>IF(H23="","",-(I23-H23))</f>
        <v/>
      </c>
      <c r="M23" s="187" t="str">
        <f>IF(VLOOKUP($A$7,'FC Links'!$F$1:$H$21,3)=0,"",VLOOKUP($A$7,'FC Links'!$F$1:$H$21,3)*VLOOKUP($C$4+8,'FC Links'!$A$2:$C$24,3))</f>
        <v/>
      </c>
      <c r="N23" s="198"/>
      <c r="O23" s="186" t="str">
        <f>IF(M23="","",N23/M23)</f>
        <v/>
      </c>
      <c r="P23" s="198"/>
      <c r="Q23" s="174" t="str">
        <f>IF(M23="","",-(N23-M23))</f>
        <v/>
      </c>
    </row>
    <row r="24" spans="1:17" ht="17.100000000000001" customHeight="1" x14ac:dyDescent="0.2">
      <c r="A24" t="str">
        <f>VLOOKUP($A8,'FC Links'!$F$1:$G$21,2)</f>
        <v>-</v>
      </c>
      <c r="B24" s="175"/>
      <c r="C24" s="184" t="str">
        <f>IF(VLOOKUP($A$8,'FC Links'!$F$1:$H$21,3)=0,"",VLOOKUP($A$8,'FC Links'!$F$1:$H$21,3)*VLOOKUP($C$4+6,'FC Links'!$A$2:$C$24,3))</f>
        <v/>
      </c>
      <c r="D24" s="198"/>
      <c r="E24" s="186" t="str">
        <f>IF(C24="","",D24/C24)</f>
        <v/>
      </c>
      <c r="F24" s="198"/>
      <c r="G24" s="174" t="str">
        <f>IF(C24="","",-(D24-C24))</f>
        <v/>
      </c>
      <c r="H24" s="187" t="str">
        <f>IF(VLOOKUP($A$8,'FC Links'!$F$1:$H$21,3)=0,"",VLOOKUP($A$8,'FC Links'!$F$1:$H$21,3)*VLOOKUP($C$4+7,'FC Links'!$A$2:$C$24,3))</f>
        <v/>
      </c>
      <c r="I24" s="198"/>
      <c r="J24" s="186" t="str">
        <f>IF(H24="","",I24/H24)</f>
        <v/>
      </c>
      <c r="K24" s="198"/>
      <c r="L24" s="174" t="str">
        <f>IF(H24="","",-(I24-H24))</f>
        <v/>
      </c>
      <c r="M24" s="187" t="str">
        <f>IF(VLOOKUP($A$8,'FC Links'!$F$1:$H$21,3)=0,"",VLOOKUP($A$8,'FC Links'!$F$1:$H$21,3)*VLOOKUP($C$4+8,'FC Links'!$A$2:$C$24,3))</f>
        <v/>
      </c>
      <c r="N24" s="198"/>
      <c r="O24" s="186" t="str">
        <f>IF(M24="","",N24/M24)</f>
        <v/>
      </c>
      <c r="P24" s="198"/>
      <c r="Q24" s="174" t="str">
        <f>IF(M24="","",-(N24-M24))</f>
        <v/>
      </c>
    </row>
    <row r="25" spans="1:17" ht="17.100000000000001" customHeight="1" x14ac:dyDescent="0.2">
      <c r="A25" t="str">
        <f>VLOOKUP($A9,'FC Links'!$F$1:$G$21,2)</f>
        <v>-</v>
      </c>
      <c r="B25" s="175"/>
      <c r="C25" s="184" t="str">
        <f>IF(VLOOKUP($A$9,'FC Links'!$F$1:$H$21,3)=0,"",VLOOKUP($A$9,'FC Links'!$F$1:$H$21,3)*VLOOKUP($C$4+6,'FC Links'!$A$2:$C$24,3))</f>
        <v/>
      </c>
      <c r="D25" s="198"/>
      <c r="E25" s="186" t="str">
        <f>IF(C25="","",D25/C25)</f>
        <v/>
      </c>
      <c r="F25" s="198"/>
      <c r="G25" s="174" t="str">
        <f>IF(C25="","",-(D25-C25))</f>
        <v/>
      </c>
      <c r="H25" s="187" t="str">
        <f>IF(VLOOKUP($A$9,'FC Links'!$F$1:$H$21,3)=0,"",VLOOKUP($A$9,'FC Links'!$F$1:$H$21,3)*VLOOKUP($C$4+7,'FC Links'!$A$2:$C$24,3))</f>
        <v/>
      </c>
      <c r="I25" s="198"/>
      <c r="J25" s="186" t="str">
        <f>IF(H25="","",I25/H25)</f>
        <v/>
      </c>
      <c r="K25" s="198"/>
      <c r="L25" s="174" t="str">
        <f>IF(H25="","",-(I25-H25))</f>
        <v/>
      </c>
      <c r="M25" s="187" t="str">
        <f>IF(VLOOKUP($A$9,'FC Links'!$F$1:$H$21,3)=0,"",VLOOKUP($A$9,'FC Links'!$F$1:$H$21,3)*VLOOKUP($C$4+8,'FC Links'!$A$2:$C$24,3))</f>
        <v/>
      </c>
      <c r="N25" s="198"/>
      <c r="O25" s="186" t="str">
        <f>IF(M25="","",N25/M25)</f>
        <v/>
      </c>
      <c r="P25" s="198"/>
      <c r="Q25" s="174" t="str">
        <f>IF(M25="","",-(N25-M25))</f>
        <v/>
      </c>
    </row>
    <row r="26" spans="1:17" ht="17.100000000000001" customHeight="1" thickBot="1" x14ac:dyDescent="0.25">
      <c r="A26" t="str">
        <f>VLOOKUP($A10,'FC Links'!$F$1:$G$21,2)</f>
        <v>-</v>
      </c>
      <c r="B26" s="175"/>
      <c r="C26" s="188" t="str">
        <f>IF(VLOOKUP($A$10,'FC Links'!$F$1:$H$21,3)=0,"",VLOOKUP($A$10,'FC Links'!$F$1:$H$21,3)*VLOOKUP($C$4+6,'FC Links'!$A$2:$C$24,3))</f>
        <v/>
      </c>
      <c r="D26" s="199"/>
      <c r="E26" s="189" t="str">
        <f>IF(C26="","",D26/C26)</f>
        <v/>
      </c>
      <c r="F26" s="199"/>
      <c r="G26" s="190" t="str">
        <f>IF(C26="","",-(D26-C26))</f>
        <v/>
      </c>
      <c r="H26" s="191" t="str">
        <f>IF(VLOOKUP($A$10,'FC Links'!$F$1:$H$21,3)=0,"",VLOOKUP($A$10,'FC Links'!$F$1:$H$21,3)*VLOOKUP($C$4+7,'FC Links'!$A$2:$C$24,3))</f>
        <v/>
      </c>
      <c r="I26" s="199"/>
      <c r="J26" s="189" t="str">
        <f>IF(H26="","",I26/H26)</f>
        <v/>
      </c>
      <c r="K26" s="199"/>
      <c r="L26" s="190" t="str">
        <f>IF(H26="","",-(I26-H26))</f>
        <v/>
      </c>
      <c r="M26" s="191" t="str">
        <f>IF(VLOOKUP($A$10,'FC Links'!$F$1:$H$21,3)=0,"",VLOOKUP($A$10,'FC Links'!$F$1:$H$21,3)*VLOOKUP($C$4+8,'FC Links'!$A$2:$C$24,3))</f>
        <v/>
      </c>
      <c r="N26" s="199"/>
      <c r="O26" s="189" t="str">
        <f>IF(M26="","",N26/M26)</f>
        <v/>
      </c>
      <c r="P26" s="199"/>
      <c r="Q26" s="190" t="str">
        <f>IF(M26="","",-(N26-M26))</f>
        <v/>
      </c>
    </row>
    <row r="27" spans="1:17" ht="17.100000000000001" customHeight="1" thickTop="1" thickBot="1" x14ac:dyDescent="0.25">
      <c r="B27" s="185"/>
      <c r="G27" s="185"/>
      <c r="H27" s="176"/>
      <c r="L27" s="185"/>
      <c r="M27" s="176"/>
    </row>
    <row r="28" spans="1:17" ht="17.100000000000001" customHeight="1" thickTop="1" thickBot="1" x14ac:dyDescent="0.25">
      <c r="A28" s="320"/>
      <c r="B28" s="321"/>
      <c r="C28" s="318" t="str">
        <f>VLOOKUP(C4+9,'FC Links'!A2:C25,2)</f>
        <v>July</v>
      </c>
      <c r="D28" s="322"/>
      <c r="E28" s="322"/>
      <c r="F28" s="322"/>
      <c r="G28" s="319"/>
      <c r="H28" s="322" t="str">
        <f>VLOOKUP(C4+10,'FC Links'!A2:C25,2)</f>
        <v>August</v>
      </c>
      <c r="I28" s="322"/>
      <c r="J28" s="322"/>
      <c r="K28" s="322"/>
      <c r="L28" s="319"/>
      <c r="M28" s="318" t="str">
        <f>VLOOKUP(C4+11,'FC Links'!A2:C25,2)</f>
        <v>September</v>
      </c>
      <c r="N28" s="322"/>
      <c r="O28" s="322"/>
      <c r="P28" s="322"/>
      <c r="Q28" s="319"/>
    </row>
    <row r="29" spans="1:17" ht="30" customHeight="1" thickTop="1" thickBot="1" x14ac:dyDescent="0.25">
      <c r="A29" s="331" t="s">
        <v>189</v>
      </c>
      <c r="B29" s="332"/>
      <c r="C29" s="177" t="s">
        <v>173</v>
      </c>
      <c r="D29" s="177" t="s">
        <v>174</v>
      </c>
      <c r="E29" s="177" t="s">
        <v>175</v>
      </c>
      <c r="F29" s="177" t="s">
        <v>176</v>
      </c>
      <c r="G29" s="178" t="s">
        <v>170</v>
      </c>
      <c r="H29" s="177" t="s">
        <v>173</v>
      </c>
      <c r="I29" s="177" t="s">
        <v>174</v>
      </c>
      <c r="J29" s="177" t="s">
        <v>175</v>
      </c>
      <c r="K29" s="177" t="s">
        <v>176</v>
      </c>
      <c r="L29" s="178" t="s">
        <v>170</v>
      </c>
      <c r="M29" s="177" t="s">
        <v>173</v>
      </c>
      <c r="N29" s="177" t="s">
        <v>174</v>
      </c>
      <c r="O29" s="177" t="s">
        <v>175</v>
      </c>
      <c r="P29" s="177" t="s">
        <v>176</v>
      </c>
      <c r="Q29" s="178" t="s">
        <v>170</v>
      </c>
    </row>
    <row r="30" spans="1:17" ht="17.100000000000001" customHeight="1" thickTop="1" x14ac:dyDescent="0.2">
      <c r="A30" t="str">
        <f>VLOOKUP($A6,'FC Links'!$F$1:$G$21,2)</f>
        <v>-</v>
      </c>
      <c r="B30" s="175"/>
      <c r="C30" s="179" t="str">
        <f>IF(VLOOKUP($A$6,'FC Links'!$F$1:$H$21,3)=0,"",VLOOKUP($A$6,'FC Links'!$F$1:$H$21,3)*VLOOKUP($C$4+9,'FC Links'!$A$2:$C$24,3))</f>
        <v/>
      </c>
      <c r="D30" s="197"/>
      <c r="E30" s="181" t="str">
        <f>IF(C30="","",D30/C30)</f>
        <v/>
      </c>
      <c r="F30" s="197"/>
      <c r="G30" s="182" t="str">
        <f>IF(C30="","",-(D30-C30))</f>
        <v/>
      </c>
      <c r="H30" s="183" t="str">
        <f>IF(VLOOKUP($A$6,'FC Links'!$F$1:$H$21,3)=0,"",VLOOKUP($A$6,'FC Links'!$F$1:$H$21,3)*VLOOKUP($C$4+10,'FC Links'!$A$2:$C$24,3))</f>
        <v/>
      </c>
      <c r="I30" s="197"/>
      <c r="J30" s="181" t="str">
        <f>IF(H30="","",I30/H30)</f>
        <v/>
      </c>
      <c r="K30" s="197"/>
      <c r="L30" s="182" t="str">
        <f>IF(H30="","",-(I30-H30))</f>
        <v/>
      </c>
      <c r="M30" s="183" t="str">
        <f>IF(VLOOKUP($A$6,'FC Links'!$F$1:$H$21,3)=0,"",VLOOKUP($A$6,'FC Links'!$F$1:$H$21,3)*VLOOKUP($C$4+11,'FC Links'!$A$2:$C$24,3))</f>
        <v/>
      </c>
      <c r="N30" s="197"/>
      <c r="O30" s="181" t="str">
        <f>IF(M30="","",N30/M30)</f>
        <v/>
      </c>
      <c r="P30" s="197"/>
      <c r="Q30" s="182" t="str">
        <f>IF(M30="","",-(N30-M30))</f>
        <v/>
      </c>
    </row>
    <row r="31" spans="1:17" ht="17.100000000000001" customHeight="1" x14ac:dyDescent="0.2">
      <c r="A31" t="str">
        <f>VLOOKUP($A7,'FC Links'!$F$1:$G$21,2)</f>
        <v>-</v>
      </c>
      <c r="B31" s="175"/>
      <c r="C31" s="184" t="str">
        <f>IF(VLOOKUP($A$7,'FC Links'!$F$1:$H$21,3)=0,"",VLOOKUP($A$7,'FC Links'!$F$1:$H$21,3)*VLOOKUP($C$4+9,'FC Links'!$A$2:$C$24,3))</f>
        <v/>
      </c>
      <c r="D31" s="198"/>
      <c r="E31" s="186" t="str">
        <f>IF(C31="","",D31/C31)</f>
        <v/>
      </c>
      <c r="F31" s="198"/>
      <c r="G31" s="174" t="str">
        <f>IF(C31="","",-(D31-C31))</f>
        <v/>
      </c>
      <c r="H31" s="187" t="str">
        <f>IF(VLOOKUP($A$7,'FC Links'!$F$1:$H$21,3)=0,"",VLOOKUP($A$7,'FC Links'!$F$1:$H$21,3)*VLOOKUP($C$4+10,'FC Links'!$A$2:$C$24,3))</f>
        <v/>
      </c>
      <c r="I31" s="198"/>
      <c r="J31" s="186" t="str">
        <f>IF(H31="","",I31/H31)</f>
        <v/>
      </c>
      <c r="K31" s="198"/>
      <c r="L31" s="174" t="str">
        <f>IF(H31="","",-(I31-H31))</f>
        <v/>
      </c>
      <c r="M31" s="187" t="str">
        <f>IF(VLOOKUP($A$7,'FC Links'!$F$1:$H$21,3)=0,"",VLOOKUP($A$7,'FC Links'!$F$1:$H$21,3)*VLOOKUP($C$4+11,'FC Links'!$A$2:$C$24,3))</f>
        <v/>
      </c>
      <c r="N31" s="198"/>
      <c r="O31" s="186" t="str">
        <f>IF(M31="","",N31/M31)</f>
        <v/>
      </c>
      <c r="P31" s="198"/>
      <c r="Q31" s="174" t="str">
        <f>IF(M31="","",-(N31-M31))</f>
        <v/>
      </c>
    </row>
    <row r="32" spans="1:17" ht="17.100000000000001" customHeight="1" x14ac:dyDescent="0.2">
      <c r="A32" t="str">
        <f>VLOOKUP($A8,'FC Links'!$F$1:$G$21,2)</f>
        <v>-</v>
      </c>
      <c r="B32" s="175"/>
      <c r="C32" s="184" t="str">
        <f>IF(VLOOKUP($A$8,'FC Links'!$F$1:$H$21,3)=0,"",VLOOKUP($A$8,'FC Links'!$F$1:$H$21,3)*VLOOKUP($C$4+9,'FC Links'!$A$2:$C$24,3))</f>
        <v/>
      </c>
      <c r="D32" s="198"/>
      <c r="E32" s="186" t="str">
        <f>IF(C32="","",D32/C32)</f>
        <v/>
      </c>
      <c r="F32" s="198"/>
      <c r="G32" s="174" t="str">
        <f>IF(C32="","",-(D32-C32))</f>
        <v/>
      </c>
      <c r="H32" s="187" t="str">
        <f>IF(VLOOKUP($A$8,'FC Links'!$F$1:$H$21,3)=0,"",VLOOKUP($A$8,'FC Links'!$F$1:$H$21,3)*VLOOKUP($C$4+10,'FC Links'!$A$2:$C$24,3))</f>
        <v/>
      </c>
      <c r="I32" s="198"/>
      <c r="J32" s="186" t="str">
        <f>IF(H32="","",I32/H32)</f>
        <v/>
      </c>
      <c r="K32" s="198"/>
      <c r="L32" s="174" t="str">
        <f>IF(H32="","",-(I32-H32))</f>
        <v/>
      </c>
      <c r="M32" s="187" t="str">
        <f>IF(VLOOKUP($A$8,'FC Links'!$F$1:$H$21,3)=0,"",VLOOKUP($A$8,'FC Links'!$F$1:$H$21,3)*VLOOKUP($C$4+11,'FC Links'!$A$2:$C$24,3))</f>
        <v/>
      </c>
      <c r="N32" s="198"/>
      <c r="O32" s="186" t="str">
        <f>IF(M32="","",N32/M32)</f>
        <v/>
      </c>
      <c r="P32" s="198"/>
      <c r="Q32" s="174" t="str">
        <f>IF(M32="","",-(N32-M32))</f>
        <v/>
      </c>
    </row>
    <row r="33" spans="1:17" ht="17.100000000000001" customHeight="1" x14ac:dyDescent="0.2">
      <c r="A33" t="str">
        <f>VLOOKUP($A9,'FC Links'!$F$1:$G$21,2)</f>
        <v>-</v>
      </c>
      <c r="B33" s="175"/>
      <c r="C33" s="184" t="str">
        <f>IF(VLOOKUP($A$9,'FC Links'!$F$1:$H$21,3)=0,"",VLOOKUP($A$9,'FC Links'!$F$1:$H$21,3)*VLOOKUP($C$4+9,'FC Links'!$A$2:$C$24,3))</f>
        <v/>
      </c>
      <c r="D33" s="198"/>
      <c r="E33" s="186" t="str">
        <f>IF(C33="","",D33/C33)</f>
        <v/>
      </c>
      <c r="F33" s="198"/>
      <c r="G33" s="174" t="str">
        <f>IF(C33="","",-(D33-C33))</f>
        <v/>
      </c>
      <c r="H33" s="187" t="str">
        <f>IF(VLOOKUP($A$9,'FC Links'!$F$1:$H$21,3)=0,"",VLOOKUP($A$9,'FC Links'!$F$1:$H$21,3)*VLOOKUP($C$4+10,'FC Links'!$A$2:$C$24,3))</f>
        <v/>
      </c>
      <c r="I33" s="198"/>
      <c r="J33" s="186" t="str">
        <f>IF(H33="","",I33/H33)</f>
        <v/>
      </c>
      <c r="K33" s="198"/>
      <c r="L33" s="174" t="str">
        <f>IF(H33="","",-(I33-H33))</f>
        <v/>
      </c>
      <c r="M33" s="187" t="str">
        <f>IF(VLOOKUP($A$9,'FC Links'!$F$1:$H$21,3)=0,"",VLOOKUP($A$9,'FC Links'!$F$1:$H$21,3)*VLOOKUP($C$4+11,'FC Links'!$A$2:$C$24,3))</f>
        <v/>
      </c>
      <c r="N33" s="198"/>
      <c r="O33" s="186" t="str">
        <f>IF(M33="","",N33/M33)</f>
        <v/>
      </c>
      <c r="P33" s="198"/>
      <c r="Q33" s="174" t="str">
        <f>IF(M33="","",-(N33-M33))</f>
        <v/>
      </c>
    </row>
    <row r="34" spans="1:17" ht="13.5" thickBot="1" x14ac:dyDescent="0.25">
      <c r="A34" t="str">
        <f>VLOOKUP($A10,'FC Links'!$F$1:$G$21,2)</f>
        <v>-</v>
      </c>
      <c r="B34" s="175"/>
      <c r="C34" s="188" t="str">
        <f>IF(VLOOKUP($A$10,'FC Links'!$F$1:$H$21,3)=0,"",VLOOKUP($A$10,'FC Links'!$F$1:$H$21,3)*VLOOKUP($C$4+9,'FC Links'!$A$2:$C$24,3))</f>
        <v/>
      </c>
      <c r="D34" s="199"/>
      <c r="E34" s="189" t="str">
        <f>IF(C34="","",D34/C34)</f>
        <v/>
      </c>
      <c r="F34" s="199"/>
      <c r="G34" s="174" t="str">
        <f>IF(C34="","",-(D34-C34))</f>
        <v/>
      </c>
      <c r="H34" s="191" t="str">
        <f>IF(VLOOKUP($A$10,'FC Links'!$F$1:$H$21,3)=0,"",VLOOKUP($A$10,'FC Links'!$F$1:$H$21,3)*VLOOKUP($C$4+10,'FC Links'!$A$2:$C$24,3))</f>
        <v/>
      </c>
      <c r="I34" s="199"/>
      <c r="J34" s="189" t="str">
        <f>IF(H34="","",I34/H34)</f>
        <v/>
      </c>
      <c r="K34" s="199"/>
      <c r="L34" s="190" t="str">
        <f>IF(H34="","",-(I34-H34))</f>
        <v/>
      </c>
      <c r="M34" s="191" t="str">
        <f>IF(VLOOKUP($A$10,'FC Links'!$F$1:$H$21,3)=0,"",VLOOKUP($A$10,'FC Links'!$F$1:$H$21,3)*VLOOKUP($C$4+11,'FC Links'!$A$2:$C$24,3))</f>
        <v/>
      </c>
      <c r="N34" s="199"/>
      <c r="O34" s="189" t="str">
        <f>IF(M34="","",N34/M34)</f>
        <v/>
      </c>
      <c r="P34" s="199"/>
      <c r="Q34" s="190" t="str">
        <f>IF(M34="","",-(N34-M34))</f>
        <v/>
      </c>
    </row>
    <row r="35" spans="1:17" ht="13.5" thickTop="1" x14ac:dyDescent="0.2">
      <c r="G35" s="180"/>
    </row>
  </sheetData>
  <sheetProtection password="D040" sheet="1" objects="1" scenarios="1"/>
  <mergeCells count="23">
    <mergeCell ref="A29:B29"/>
    <mergeCell ref="A21:B21"/>
    <mergeCell ref="A13:B13"/>
    <mergeCell ref="M20:Q20"/>
    <mergeCell ref="C28:G28"/>
    <mergeCell ref="A28:B28"/>
    <mergeCell ref="M28:Q28"/>
    <mergeCell ref="H28:L28"/>
    <mergeCell ref="C1:Q1"/>
    <mergeCell ref="N2:P2"/>
    <mergeCell ref="A5:B5"/>
    <mergeCell ref="A12:B12"/>
    <mergeCell ref="A20:B20"/>
    <mergeCell ref="C20:G20"/>
    <mergeCell ref="H20:L20"/>
    <mergeCell ref="C4:G4"/>
    <mergeCell ref="M4:Q4"/>
    <mergeCell ref="C12:G12"/>
    <mergeCell ref="H12:L12"/>
    <mergeCell ref="M12:Q12"/>
    <mergeCell ref="H4:L4"/>
    <mergeCell ref="E2:H2"/>
    <mergeCell ref="A4:B4"/>
  </mergeCells>
  <pageMargins left="0.45" right="0.45" top="0.5" bottom="0.75" header="0.3" footer="0"/>
  <pageSetup scale="8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20" r:id="rId4" name="Drop Down 4">
              <controlPr defaultSize="0" autoLine="0" autoPict="0">
                <anchor moveWithCells="1">
                  <from>
                    <xdr:col>0</xdr:col>
                    <xdr:colOff>9525</xdr:colOff>
                    <xdr:row>5</xdr:row>
                    <xdr:rowOff>9525</xdr:rowOff>
                  </from>
                  <to>
                    <xdr:col>1</xdr:col>
                    <xdr:colOff>571500</xdr:colOff>
                    <xdr:row>6</xdr:row>
                    <xdr:rowOff>9525</xdr:rowOff>
                  </to>
                </anchor>
              </controlPr>
            </control>
          </mc:Choice>
        </mc:AlternateContent>
        <mc:AlternateContent xmlns:mc="http://schemas.openxmlformats.org/markup-compatibility/2006">
          <mc:Choice Requires="x14">
            <control shapeId="9221" r:id="rId5" name="Drop Down 5">
              <controlPr defaultSize="0" autoLine="0" autoPict="0">
                <anchor moveWithCells="1">
                  <from>
                    <xdr:col>0</xdr:col>
                    <xdr:colOff>9525</xdr:colOff>
                    <xdr:row>6</xdr:row>
                    <xdr:rowOff>9525</xdr:rowOff>
                  </from>
                  <to>
                    <xdr:col>1</xdr:col>
                    <xdr:colOff>571500</xdr:colOff>
                    <xdr:row>7</xdr:row>
                    <xdr:rowOff>9525</xdr:rowOff>
                  </to>
                </anchor>
              </controlPr>
            </control>
          </mc:Choice>
        </mc:AlternateContent>
        <mc:AlternateContent xmlns:mc="http://schemas.openxmlformats.org/markup-compatibility/2006">
          <mc:Choice Requires="x14">
            <control shapeId="9222" r:id="rId6" name="Drop Down 6">
              <controlPr defaultSize="0" autoLine="0" autoPict="0">
                <anchor moveWithCells="1">
                  <from>
                    <xdr:col>0</xdr:col>
                    <xdr:colOff>9525</xdr:colOff>
                    <xdr:row>7</xdr:row>
                    <xdr:rowOff>9525</xdr:rowOff>
                  </from>
                  <to>
                    <xdr:col>1</xdr:col>
                    <xdr:colOff>571500</xdr:colOff>
                    <xdr:row>8</xdr:row>
                    <xdr:rowOff>9525</xdr:rowOff>
                  </to>
                </anchor>
              </controlPr>
            </control>
          </mc:Choice>
        </mc:AlternateContent>
        <mc:AlternateContent xmlns:mc="http://schemas.openxmlformats.org/markup-compatibility/2006">
          <mc:Choice Requires="x14">
            <control shapeId="9223" r:id="rId7" name="Drop Down 7">
              <controlPr defaultSize="0" autoLine="0" autoPict="0">
                <anchor moveWithCells="1">
                  <from>
                    <xdr:col>0</xdr:col>
                    <xdr:colOff>9525</xdr:colOff>
                    <xdr:row>8</xdr:row>
                    <xdr:rowOff>9525</xdr:rowOff>
                  </from>
                  <to>
                    <xdr:col>1</xdr:col>
                    <xdr:colOff>571500</xdr:colOff>
                    <xdr:row>9</xdr:row>
                    <xdr:rowOff>9525</xdr:rowOff>
                  </to>
                </anchor>
              </controlPr>
            </control>
          </mc:Choice>
        </mc:AlternateContent>
        <mc:AlternateContent xmlns:mc="http://schemas.openxmlformats.org/markup-compatibility/2006">
          <mc:Choice Requires="x14">
            <control shapeId="9224" r:id="rId8" name="Drop Down 8">
              <controlPr defaultSize="0" autoLine="0" autoPict="0">
                <anchor moveWithCells="1">
                  <from>
                    <xdr:col>0</xdr:col>
                    <xdr:colOff>9525</xdr:colOff>
                    <xdr:row>9</xdr:row>
                    <xdr:rowOff>9525</xdr:rowOff>
                  </from>
                  <to>
                    <xdr:col>1</xdr:col>
                    <xdr:colOff>571500</xdr:colOff>
                    <xdr:row>10</xdr:row>
                    <xdr:rowOff>9525</xdr:rowOff>
                  </to>
                </anchor>
              </controlPr>
            </control>
          </mc:Choice>
        </mc:AlternateContent>
        <mc:AlternateContent xmlns:mc="http://schemas.openxmlformats.org/markup-compatibility/2006">
          <mc:Choice Requires="x14">
            <control shapeId="9225" r:id="rId9" name="Drop Down 9">
              <controlPr defaultSize="0" autoLine="0" autoPict="0">
                <anchor moveWithCells="1">
                  <from>
                    <xdr:col>2</xdr:col>
                    <xdr:colOff>9525</xdr:colOff>
                    <xdr:row>3</xdr:row>
                    <xdr:rowOff>0</xdr:rowOff>
                  </from>
                  <to>
                    <xdr:col>6</xdr:col>
                    <xdr:colOff>600075</xdr:colOff>
                    <xdr:row>3</xdr:row>
                    <xdr:rowOff>190500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25"/>
  <sheetViews>
    <sheetView workbookViewId="0">
      <selection activeCell="B7" sqref="B7"/>
    </sheetView>
  </sheetViews>
  <sheetFormatPr defaultRowHeight="12.75" x14ac:dyDescent="0.2"/>
  <sheetData>
    <row r="1" spans="1:8" x14ac:dyDescent="0.2">
      <c r="F1">
        <v>1</v>
      </c>
      <c r="G1" s="173" t="s">
        <v>180</v>
      </c>
      <c r="H1">
        <v>0</v>
      </c>
    </row>
    <row r="2" spans="1:8" x14ac:dyDescent="0.2">
      <c r="A2">
        <v>1</v>
      </c>
      <c r="B2" s="274" t="s">
        <v>177</v>
      </c>
      <c r="C2" s="171">
        <v>31</v>
      </c>
      <c r="F2">
        <v>2</v>
      </c>
      <c r="G2" t="str">
        <f>'Current Rations'!B4</f>
        <v/>
      </c>
      <c r="H2" s="168" t="str">
        <f>'Current Rations'!N4</f>
        <v/>
      </c>
    </row>
    <row r="3" spans="1:8" x14ac:dyDescent="0.2">
      <c r="A3">
        <v>2</v>
      </c>
      <c r="B3" s="274" t="s">
        <v>178</v>
      </c>
      <c r="C3" s="171">
        <v>28</v>
      </c>
      <c r="F3">
        <v>3</v>
      </c>
      <c r="G3" t="str">
        <f>'Current Rations'!B5</f>
        <v/>
      </c>
      <c r="H3" s="168" t="str">
        <f>'Current Rations'!N5</f>
        <v/>
      </c>
    </row>
    <row r="4" spans="1:8" x14ac:dyDescent="0.2">
      <c r="A4">
        <v>3</v>
      </c>
      <c r="B4" s="274" t="s">
        <v>179</v>
      </c>
      <c r="C4" s="171">
        <v>31</v>
      </c>
      <c r="F4">
        <v>4</v>
      </c>
      <c r="G4" t="str">
        <f>'Current Rations'!B6</f>
        <v/>
      </c>
      <c r="H4" s="168" t="str">
        <f>'Current Rations'!N6</f>
        <v/>
      </c>
    </row>
    <row r="5" spans="1:8" x14ac:dyDescent="0.2">
      <c r="A5">
        <v>4</v>
      </c>
      <c r="B5" s="274" t="s">
        <v>181</v>
      </c>
      <c r="C5" s="171">
        <v>30</v>
      </c>
      <c r="F5">
        <v>5</v>
      </c>
      <c r="G5" t="str">
        <f>'Current Rations'!B7</f>
        <v/>
      </c>
      <c r="H5" s="168" t="str">
        <f>'Current Rations'!N7</f>
        <v/>
      </c>
    </row>
    <row r="6" spans="1:8" x14ac:dyDescent="0.2">
      <c r="A6">
        <v>5</v>
      </c>
      <c r="B6" s="274" t="s">
        <v>171</v>
      </c>
      <c r="C6" s="171">
        <v>31</v>
      </c>
      <c r="F6">
        <v>6</v>
      </c>
      <c r="G6" t="str">
        <f>'Current Rations'!B8</f>
        <v/>
      </c>
      <c r="H6" s="168" t="str">
        <f>'Current Rations'!N8</f>
        <v/>
      </c>
    </row>
    <row r="7" spans="1:8" x14ac:dyDescent="0.2">
      <c r="A7">
        <v>6</v>
      </c>
      <c r="B7" s="274" t="s">
        <v>182</v>
      </c>
      <c r="C7" s="171">
        <v>30</v>
      </c>
      <c r="F7">
        <v>7</v>
      </c>
      <c r="G7" t="str">
        <f>'Current Rations'!B9</f>
        <v/>
      </c>
      <c r="H7" s="168" t="str">
        <f>'Current Rations'!N9</f>
        <v/>
      </c>
    </row>
    <row r="8" spans="1:8" x14ac:dyDescent="0.2">
      <c r="A8">
        <v>7</v>
      </c>
      <c r="B8" s="274" t="s">
        <v>183</v>
      </c>
      <c r="C8" s="171">
        <v>31</v>
      </c>
      <c r="F8">
        <v>8</v>
      </c>
      <c r="G8" t="str">
        <f>'Current Rations'!B10</f>
        <v/>
      </c>
      <c r="H8" s="168" t="str">
        <f>'Current Rations'!N10</f>
        <v/>
      </c>
    </row>
    <row r="9" spans="1:8" x14ac:dyDescent="0.2">
      <c r="A9">
        <v>8</v>
      </c>
      <c r="B9" s="274" t="s">
        <v>184</v>
      </c>
      <c r="C9" s="171">
        <v>31</v>
      </c>
      <c r="F9">
        <v>9</v>
      </c>
      <c r="G9" t="str">
        <f>'Current Rations'!B11</f>
        <v/>
      </c>
      <c r="H9" s="168" t="str">
        <f>'Current Rations'!N11</f>
        <v/>
      </c>
    </row>
    <row r="10" spans="1:8" x14ac:dyDescent="0.2">
      <c r="A10">
        <v>9</v>
      </c>
      <c r="B10" s="274" t="s">
        <v>185</v>
      </c>
      <c r="C10" s="171">
        <v>30</v>
      </c>
      <c r="F10">
        <v>10</v>
      </c>
      <c r="G10" t="str">
        <f>'Current Rations'!B12</f>
        <v/>
      </c>
      <c r="H10" s="168" t="str">
        <f>'Current Rations'!N12</f>
        <v/>
      </c>
    </row>
    <row r="11" spans="1:8" x14ac:dyDescent="0.2">
      <c r="A11">
        <v>10</v>
      </c>
      <c r="B11" s="274" t="s">
        <v>186</v>
      </c>
      <c r="C11" s="171">
        <v>31</v>
      </c>
      <c r="F11">
        <v>11</v>
      </c>
      <c r="G11" t="str">
        <f>'Current Rations'!B13</f>
        <v/>
      </c>
      <c r="H11" s="168" t="str">
        <f>'Current Rations'!N13</f>
        <v/>
      </c>
    </row>
    <row r="12" spans="1:8" x14ac:dyDescent="0.2">
      <c r="A12">
        <v>11</v>
      </c>
      <c r="B12" s="274" t="s">
        <v>187</v>
      </c>
      <c r="C12" s="171">
        <v>30</v>
      </c>
      <c r="F12">
        <v>12</v>
      </c>
      <c r="G12" t="str">
        <f>'Current Rations'!B14</f>
        <v/>
      </c>
      <c r="H12" s="168" t="str">
        <f>'Current Rations'!N14</f>
        <v/>
      </c>
    </row>
    <row r="13" spans="1:8" x14ac:dyDescent="0.2">
      <c r="A13">
        <v>12</v>
      </c>
      <c r="B13" s="274" t="s">
        <v>188</v>
      </c>
      <c r="C13" s="171">
        <v>31</v>
      </c>
      <c r="F13">
        <v>13</v>
      </c>
      <c r="G13" t="str">
        <f>'Current Rations'!B15</f>
        <v/>
      </c>
      <c r="H13" s="168" t="str">
        <f>'Current Rations'!N15</f>
        <v/>
      </c>
    </row>
    <row r="14" spans="1:8" x14ac:dyDescent="0.2">
      <c r="A14">
        <v>13</v>
      </c>
      <c r="B14" s="274" t="s">
        <v>177</v>
      </c>
      <c r="C14" s="171">
        <v>31</v>
      </c>
      <c r="F14">
        <v>14</v>
      </c>
      <c r="G14" t="str">
        <f>'Current Rations'!B16</f>
        <v/>
      </c>
      <c r="H14" s="168" t="str">
        <f>'Current Rations'!N16</f>
        <v/>
      </c>
    </row>
    <row r="15" spans="1:8" x14ac:dyDescent="0.2">
      <c r="A15">
        <v>14</v>
      </c>
      <c r="B15" s="274" t="s">
        <v>178</v>
      </c>
      <c r="C15" s="171">
        <v>28</v>
      </c>
      <c r="F15">
        <v>15</v>
      </c>
      <c r="G15" t="str">
        <f>'Current Rations'!B17</f>
        <v/>
      </c>
      <c r="H15" s="168" t="str">
        <f>'Current Rations'!N17</f>
        <v/>
      </c>
    </row>
    <row r="16" spans="1:8" x14ac:dyDescent="0.2">
      <c r="A16">
        <v>15</v>
      </c>
      <c r="B16" s="274" t="s">
        <v>179</v>
      </c>
      <c r="C16" s="171">
        <v>31</v>
      </c>
      <c r="F16">
        <v>16</v>
      </c>
      <c r="G16" t="str">
        <f>'Current Rations'!B18</f>
        <v/>
      </c>
      <c r="H16" s="168" t="str">
        <f>'Current Rations'!N18</f>
        <v/>
      </c>
    </row>
    <row r="17" spans="1:8" x14ac:dyDescent="0.2">
      <c r="A17">
        <v>16</v>
      </c>
      <c r="B17" s="274" t="s">
        <v>181</v>
      </c>
      <c r="C17" s="171">
        <v>30</v>
      </c>
      <c r="F17">
        <v>17</v>
      </c>
      <c r="G17" t="str">
        <f>'Current Rations'!B19</f>
        <v/>
      </c>
      <c r="H17" s="168" t="str">
        <f>'Current Rations'!N19</f>
        <v/>
      </c>
    </row>
    <row r="18" spans="1:8" x14ac:dyDescent="0.2">
      <c r="A18">
        <v>17</v>
      </c>
      <c r="B18" s="274" t="s">
        <v>171</v>
      </c>
      <c r="C18" s="171">
        <v>31</v>
      </c>
      <c r="F18">
        <v>18</v>
      </c>
      <c r="G18" t="str">
        <f>'Current Rations'!B20</f>
        <v/>
      </c>
      <c r="H18" s="168" t="str">
        <f>'Current Rations'!N20</f>
        <v/>
      </c>
    </row>
    <row r="19" spans="1:8" x14ac:dyDescent="0.2">
      <c r="A19">
        <v>18</v>
      </c>
      <c r="B19" s="274" t="s">
        <v>182</v>
      </c>
      <c r="C19" s="171">
        <v>30</v>
      </c>
      <c r="F19">
        <v>19</v>
      </c>
      <c r="G19" t="str">
        <f>'Current Rations'!B21</f>
        <v/>
      </c>
      <c r="H19" s="168" t="str">
        <f>'Current Rations'!N21</f>
        <v/>
      </c>
    </row>
    <row r="20" spans="1:8" x14ac:dyDescent="0.2">
      <c r="A20">
        <v>19</v>
      </c>
      <c r="B20" s="274" t="s">
        <v>183</v>
      </c>
      <c r="C20" s="171">
        <v>31</v>
      </c>
      <c r="F20">
        <v>20</v>
      </c>
      <c r="G20" t="str">
        <f>'Current Rations'!B22</f>
        <v/>
      </c>
      <c r="H20" s="168" t="str">
        <f>'Current Rations'!N22</f>
        <v/>
      </c>
    </row>
    <row r="21" spans="1:8" x14ac:dyDescent="0.2">
      <c r="A21">
        <v>20</v>
      </c>
      <c r="B21" s="274" t="s">
        <v>184</v>
      </c>
      <c r="C21" s="171">
        <v>31</v>
      </c>
      <c r="F21">
        <v>21</v>
      </c>
      <c r="G21" t="str">
        <f>'Current Rations'!B23</f>
        <v/>
      </c>
      <c r="H21" s="168" t="str">
        <f>'Current Rations'!N23</f>
        <v/>
      </c>
    </row>
    <row r="22" spans="1:8" x14ac:dyDescent="0.2">
      <c r="A22">
        <v>21</v>
      </c>
      <c r="B22" s="274" t="s">
        <v>185</v>
      </c>
      <c r="C22" s="171">
        <v>30</v>
      </c>
      <c r="H22" s="168"/>
    </row>
    <row r="23" spans="1:8" x14ac:dyDescent="0.2">
      <c r="A23">
        <v>22</v>
      </c>
      <c r="B23" s="274" t="s">
        <v>186</v>
      </c>
      <c r="C23" s="171">
        <v>31</v>
      </c>
    </row>
    <row r="24" spans="1:8" x14ac:dyDescent="0.2">
      <c r="A24">
        <v>23</v>
      </c>
      <c r="B24" s="274" t="s">
        <v>187</v>
      </c>
      <c r="C24" s="171">
        <v>30</v>
      </c>
    </row>
    <row r="25" spans="1:8" x14ac:dyDescent="0.2">
      <c r="A25">
        <v>24</v>
      </c>
      <c r="B25" s="274" t="s">
        <v>188</v>
      </c>
      <c r="C25" s="171">
        <v>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P170"/>
  <sheetViews>
    <sheetView topLeftCell="B1" zoomScale="80" zoomScaleNormal="80" workbookViewId="0">
      <selection activeCell="C4" sqref="C4"/>
    </sheetView>
  </sheetViews>
  <sheetFormatPr defaultRowHeight="12.75" x14ac:dyDescent="0.2"/>
  <cols>
    <col min="1" max="1" width="0" style="17" hidden="1" customWidth="1"/>
    <col min="2" max="2" width="25.28515625" style="20" customWidth="1"/>
    <col min="3" max="12" width="9.7109375" style="17" customWidth="1"/>
    <col min="13" max="13" width="11.28515625" style="17" customWidth="1"/>
    <col min="14" max="14" width="9.7109375" style="17" customWidth="1"/>
    <col min="15" max="15" width="11.7109375" style="72" customWidth="1"/>
    <col min="16" max="16" width="11.28515625" style="17" customWidth="1"/>
    <col min="17" max="16384" width="9.140625" style="17"/>
  </cols>
  <sheetData>
    <row r="2" spans="1:16" s="1" customFormat="1" ht="21" thickBot="1" x14ac:dyDescent="0.35">
      <c r="B2" s="16"/>
      <c r="C2" s="308" t="str">
        <f>""&amp;'Inventory Calculator'!I4&amp;" Proposed Rations, daily DM lb / head"</f>
        <v xml:space="preserve"> Proposed Rations, daily DM lb / head</v>
      </c>
      <c r="D2" s="308"/>
      <c r="E2" s="308"/>
      <c r="F2" s="308"/>
      <c r="G2" s="308"/>
      <c r="H2" s="308"/>
      <c r="I2" s="308"/>
      <c r="J2" s="308"/>
      <c r="K2" s="308"/>
      <c r="L2" s="308"/>
      <c r="O2" s="67"/>
    </row>
    <row r="3" spans="1:16" s="1" customFormat="1" ht="38.25" x14ac:dyDescent="0.2">
      <c r="A3" s="17">
        <v>1</v>
      </c>
      <c r="B3" s="16" t="s">
        <v>0</v>
      </c>
      <c r="C3" s="226">
        <f>'Current Rations'!C3</f>
        <v>0</v>
      </c>
      <c r="D3" s="226">
        <f>'Current Rations'!D3</f>
        <v>0</v>
      </c>
      <c r="E3" s="226">
        <f>'Current Rations'!E3</f>
        <v>0</v>
      </c>
      <c r="F3" s="226">
        <f>'Current Rations'!F3</f>
        <v>0</v>
      </c>
      <c r="G3" s="226">
        <f>'Current Rations'!G3</f>
        <v>0</v>
      </c>
      <c r="H3" s="226">
        <f>'Current Rations'!H3</f>
        <v>0</v>
      </c>
      <c r="I3" s="226">
        <f>'Current Rations'!I3</f>
        <v>0</v>
      </c>
      <c r="J3" s="226">
        <f>'Current Rations'!J3</f>
        <v>0</v>
      </c>
      <c r="K3" s="226">
        <f>'Current Rations'!K3</f>
        <v>0</v>
      </c>
      <c r="L3" s="226">
        <f>'Current Rations'!L3</f>
        <v>0</v>
      </c>
      <c r="M3" s="110" t="str">
        <f>Feeds!I2</f>
        <v>Inventory      (DM tons)</v>
      </c>
      <c r="N3" s="110" t="s">
        <v>40</v>
      </c>
      <c r="O3" s="110" t="s">
        <v>39</v>
      </c>
      <c r="P3" s="110" t="s">
        <v>28</v>
      </c>
    </row>
    <row r="4" spans="1:16" x14ac:dyDescent="0.2">
      <c r="A4" s="17">
        <v>2</v>
      </c>
      <c r="B4" s="29" t="str">
        <f>IF(Feeds!A3&gt;0,Feeds!A3,"")</f>
        <v/>
      </c>
      <c r="C4" s="22"/>
      <c r="D4" s="22"/>
      <c r="E4" s="22"/>
      <c r="F4" s="22"/>
      <c r="G4" s="22"/>
      <c r="H4" s="22"/>
      <c r="I4" s="22"/>
      <c r="J4" s="22"/>
      <c r="K4" s="22"/>
      <c r="L4" s="22"/>
      <c r="M4" s="111" t="str">
        <f>IF(Feeds!I3&gt;0,Feeds!I3,"")</f>
        <v/>
      </c>
      <c r="N4" s="112" t="str">
        <f>IF(SUM(C4:L4)&gt;0,(SUMPRODUCT(C4:L4,C$27:L$27,C$28:L$28)/365)/2000/(1-Feeds!F3),"")</f>
        <v/>
      </c>
      <c r="O4" s="113" t="str">
        <f>IF(AND(P4&lt;&gt;"",P4&lt;&gt;0),P4+Feeds!L3,"")</f>
        <v/>
      </c>
      <c r="P4" s="111" t="str">
        <f>IF(N4&lt;&gt;"",Feeds!I3/'Proposed Rations'!N4,"")</f>
        <v/>
      </c>
    </row>
    <row r="5" spans="1:16" x14ac:dyDescent="0.2">
      <c r="A5" s="17">
        <v>3</v>
      </c>
      <c r="B5" s="29" t="str">
        <f>IF(Feeds!A4&gt;0,Feeds!A4,"")</f>
        <v/>
      </c>
      <c r="C5" s="23"/>
      <c r="D5" s="23"/>
      <c r="E5" s="23"/>
      <c r="F5" s="23"/>
      <c r="G5" s="23"/>
      <c r="H5" s="23"/>
      <c r="I5" s="23"/>
      <c r="J5" s="23"/>
      <c r="K5" s="23"/>
      <c r="L5" s="23"/>
      <c r="M5" s="114" t="str">
        <f>IF(Feeds!I4&gt;0,Feeds!I4,"")</f>
        <v/>
      </c>
      <c r="N5" s="115" t="str">
        <f>IF(SUM(C5:L5)&gt;0,(SUMPRODUCT(C5:L5,C$27:L$27,C$28:L$28)/365)/2000/(1-Feeds!F4),"")</f>
        <v/>
      </c>
      <c r="O5" s="116" t="str">
        <f>IF(AND(P5&lt;&gt;"",P5&lt;&gt;0),P5+Feeds!L4,"")</f>
        <v/>
      </c>
      <c r="P5" s="111" t="str">
        <f>IF(N5&lt;&gt;"",Feeds!I4/'Proposed Rations'!N5,"")</f>
        <v/>
      </c>
    </row>
    <row r="6" spans="1:16" x14ac:dyDescent="0.2">
      <c r="A6" s="17">
        <v>4</v>
      </c>
      <c r="B6" s="29" t="str">
        <f>IF(Feeds!A5&gt;0,Feeds!A5,"")</f>
        <v/>
      </c>
      <c r="C6" s="23"/>
      <c r="D6" s="23"/>
      <c r="E6" s="23"/>
      <c r="F6" s="23"/>
      <c r="G6" s="23"/>
      <c r="H6" s="23"/>
      <c r="I6" s="23"/>
      <c r="J6" s="23"/>
      <c r="K6" s="23"/>
      <c r="L6" s="23"/>
      <c r="M6" s="114" t="str">
        <f>IF(Feeds!I5&gt;0,Feeds!I5,"")</f>
        <v/>
      </c>
      <c r="N6" s="115" t="str">
        <f>IF(SUM(C6:L6)&gt;0,(SUMPRODUCT(C6:L6,C$27:L$27,C$28:L$28)/365)/2000/(1-Feeds!F5),"")</f>
        <v/>
      </c>
      <c r="O6" s="116" t="str">
        <f>IF(AND(P6&lt;&gt;"",P6&lt;&gt;0),P6+Feeds!L5,"")</f>
        <v/>
      </c>
      <c r="P6" s="111" t="str">
        <f>IF(N6&lt;&gt;"",Feeds!I5/'Proposed Rations'!N6,"")</f>
        <v/>
      </c>
    </row>
    <row r="7" spans="1:16" x14ac:dyDescent="0.2">
      <c r="A7" s="17">
        <v>5</v>
      </c>
      <c r="B7" s="29" t="str">
        <f>IF(Feeds!A6&gt;0,Feeds!A6,"")</f>
        <v/>
      </c>
      <c r="C7" s="23"/>
      <c r="D7" s="23"/>
      <c r="E7" s="23"/>
      <c r="F7" s="23"/>
      <c r="G7" s="23"/>
      <c r="H7" s="23"/>
      <c r="I7" s="23"/>
      <c r="J7" s="23"/>
      <c r="K7" s="23"/>
      <c r="L7" s="23"/>
      <c r="M7" s="114" t="str">
        <f>IF(Feeds!I6&gt;0,Feeds!I6,"")</f>
        <v/>
      </c>
      <c r="N7" s="115" t="str">
        <f>IF(SUM(C7:L7)&gt;0,(SUMPRODUCT(C7:L7,C$27:L$27,C$28:L$28)/365)/2000/(1-Feeds!F6),"")</f>
        <v/>
      </c>
      <c r="O7" s="116" t="str">
        <f>IF(AND(P7&lt;&gt;"",P7&lt;&gt;0),P7+Feeds!L6,"")</f>
        <v/>
      </c>
      <c r="P7" s="111" t="str">
        <f>IF(N7&lt;&gt;"",Feeds!I6/'Proposed Rations'!N7,"")</f>
        <v/>
      </c>
    </row>
    <row r="8" spans="1:16" x14ac:dyDescent="0.2">
      <c r="A8" s="17">
        <v>6</v>
      </c>
      <c r="B8" s="29" t="str">
        <f>IF(Feeds!A7&gt;0,Feeds!A7,"")</f>
        <v/>
      </c>
      <c r="C8" s="23"/>
      <c r="D8" s="23"/>
      <c r="E8" s="23"/>
      <c r="F8" s="23"/>
      <c r="G8" s="23"/>
      <c r="H8" s="23"/>
      <c r="I8" s="23"/>
      <c r="J8" s="23"/>
      <c r="K8" s="23"/>
      <c r="L8" s="23"/>
      <c r="M8" s="114" t="str">
        <f>IF(Feeds!I7&gt;0,Feeds!I7,"")</f>
        <v/>
      </c>
      <c r="N8" s="115" t="str">
        <f>IF(SUM(C8:L8)&gt;0,(SUMPRODUCT(C8:L8,C$27:L$27,C$28:L$28)/365)/2000/(1-Feeds!F7),"")</f>
        <v/>
      </c>
      <c r="O8" s="116" t="str">
        <f>IF(AND(P8&lt;&gt;"",P8&lt;&gt;0),P8+Feeds!L7,"")</f>
        <v/>
      </c>
      <c r="P8" s="111" t="str">
        <f>IF(N8&lt;&gt;"",Feeds!I7/'Proposed Rations'!N8,"")</f>
        <v/>
      </c>
    </row>
    <row r="9" spans="1:16" x14ac:dyDescent="0.2">
      <c r="A9" s="17">
        <v>7</v>
      </c>
      <c r="B9" s="29" t="str">
        <f>IF(Feeds!A8&gt;0,Feeds!A8,"")</f>
        <v/>
      </c>
      <c r="C9" s="23"/>
      <c r="D9" s="23"/>
      <c r="E9" s="23"/>
      <c r="F9" s="23"/>
      <c r="G9" s="23"/>
      <c r="H9" s="23"/>
      <c r="I9" s="23"/>
      <c r="J9" s="23"/>
      <c r="K9" s="23"/>
      <c r="L9" s="23"/>
      <c r="M9" s="114" t="str">
        <f>IF(Feeds!I8&gt;0,Feeds!I8,"")</f>
        <v/>
      </c>
      <c r="N9" s="115" t="str">
        <f>IF(SUM(C9:L9)&gt;0,(SUMPRODUCT(C9:L9,C$27:L$27,C$28:L$28)/365)/2000/(1-Feeds!F8),"")</f>
        <v/>
      </c>
      <c r="O9" s="116" t="str">
        <f>IF(AND(P9&lt;&gt;"",P9&lt;&gt;0),P9+Feeds!L8,"")</f>
        <v/>
      </c>
      <c r="P9" s="111" t="str">
        <f>IF(N9&lt;&gt;"",Feeds!I8/'Proposed Rations'!N9,"")</f>
        <v/>
      </c>
    </row>
    <row r="10" spans="1:16" x14ac:dyDescent="0.2">
      <c r="A10" s="17">
        <v>8</v>
      </c>
      <c r="B10" s="29" t="str">
        <f>IF(Feeds!A9&gt;0,Feeds!A9,"")</f>
        <v/>
      </c>
      <c r="C10" s="23"/>
      <c r="D10" s="23"/>
      <c r="E10" s="23"/>
      <c r="F10" s="23"/>
      <c r="G10" s="23"/>
      <c r="H10" s="23"/>
      <c r="I10" s="23"/>
      <c r="J10" s="23"/>
      <c r="K10" s="23"/>
      <c r="L10" s="23"/>
      <c r="M10" s="114" t="str">
        <f>IF(Feeds!I9&gt;0,Feeds!I9,"")</f>
        <v/>
      </c>
      <c r="N10" s="115" t="str">
        <f>IF(SUM(C10:L10)&gt;0,(SUMPRODUCT(C10:L10,C$27:L$27,C$28:L$28)/365)/2000/(1-Feeds!F9),"")</f>
        <v/>
      </c>
      <c r="O10" s="116" t="str">
        <f>IF(AND(P10&lt;&gt;"",P10&lt;&gt;0),P10+Feeds!L9,"")</f>
        <v/>
      </c>
      <c r="P10" s="111" t="str">
        <f>IF(N10&lt;&gt;"",Feeds!I9/'Proposed Rations'!N10,"")</f>
        <v/>
      </c>
    </row>
    <row r="11" spans="1:16" x14ac:dyDescent="0.2">
      <c r="A11" s="17">
        <v>9</v>
      </c>
      <c r="B11" s="29" t="str">
        <f>IF(Feeds!A10&gt;0,Feeds!A10,"")</f>
        <v/>
      </c>
      <c r="C11" s="23"/>
      <c r="D11" s="23"/>
      <c r="E11" s="23"/>
      <c r="F11" s="23"/>
      <c r="G11" s="23"/>
      <c r="H11" s="23"/>
      <c r="I11" s="23"/>
      <c r="J11" s="23"/>
      <c r="K11" s="23"/>
      <c r="L11" s="23"/>
      <c r="M11" s="114" t="str">
        <f>IF(Feeds!I10&gt;0,Feeds!I10,"")</f>
        <v/>
      </c>
      <c r="N11" s="115" t="str">
        <f>IF(SUM(C11:L11)&gt;0,(SUMPRODUCT(C11:L11,C$27:L$27,C$28:L$28)/365)/2000/(1-Feeds!F10),"")</f>
        <v/>
      </c>
      <c r="O11" s="116" t="str">
        <f>IF(AND(P11&lt;&gt;"",P11&lt;&gt;0),P11+Feeds!L10,"")</f>
        <v/>
      </c>
      <c r="P11" s="111" t="str">
        <f>IF(N11&lt;&gt;"",Feeds!I10/'Proposed Rations'!N11,"")</f>
        <v/>
      </c>
    </row>
    <row r="12" spans="1:16" x14ac:dyDescent="0.2">
      <c r="A12" s="17">
        <v>10</v>
      </c>
      <c r="B12" s="29" t="str">
        <f>IF(Feeds!A11&gt;0,Feeds!A11,"")</f>
        <v/>
      </c>
      <c r="C12" s="23"/>
      <c r="D12" s="23"/>
      <c r="E12" s="23"/>
      <c r="F12" s="23"/>
      <c r="G12" s="23"/>
      <c r="H12" s="23"/>
      <c r="I12" s="23"/>
      <c r="J12" s="23"/>
      <c r="K12" s="23"/>
      <c r="L12" s="23"/>
      <c r="M12" s="114" t="str">
        <f>IF(Feeds!I11&gt;0,Feeds!I11,"")</f>
        <v/>
      </c>
      <c r="N12" s="115" t="str">
        <f>IF(SUM(C12:L12)&gt;0,(SUMPRODUCT(C12:L12,C$27:L$27,C$28:L$28)/365)/2000/(1-Feeds!F11),"")</f>
        <v/>
      </c>
      <c r="O12" s="116" t="str">
        <f>IF(AND(P12&lt;&gt;"",P12&lt;&gt;0),P12+Feeds!L11,"")</f>
        <v/>
      </c>
      <c r="P12" s="111" t="str">
        <f>IF(N12&lt;&gt;"",Feeds!I11/'Proposed Rations'!N12,"")</f>
        <v/>
      </c>
    </row>
    <row r="13" spans="1:16" x14ac:dyDescent="0.2">
      <c r="A13" s="17">
        <v>11</v>
      </c>
      <c r="B13" s="29" t="str">
        <f>IF(Feeds!A12&gt;0,Feeds!A12,"")</f>
        <v/>
      </c>
      <c r="C13" s="23"/>
      <c r="D13" s="23"/>
      <c r="E13" s="23"/>
      <c r="F13" s="23"/>
      <c r="G13" s="23"/>
      <c r="H13" s="23"/>
      <c r="I13" s="23"/>
      <c r="J13" s="23"/>
      <c r="K13" s="23"/>
      <c r="L13" s="23"/>
      <c r="M13" s="114" t="str">
        <f>IF(Feeds!I12&gt;0,Feeds!I12,"")</f>
        <v/>
      </c>
      <c r="N13" s="115" t="str">
        <f>IF(SUM(C13:L13)&gt;0,(SUMPRODUCT(C13:L13,C$27:L$27,C$28:L$28)/365)/2000/(1-Feeds!F12),"")</f>
        <v/>
      </c>
      <c r="O13" s="116" t="str">
        <f>IF(AND(P13&lt;&gt;"",P13&lt;&gt;0),P13+Feeds!L12,"")</f>
        <v/>
      </c>
      <c r="P13" s="111" t="str">
        <f>IF(N13&lt;&gt;"",Feeds!I12/'Proposed Rations'!N13,"")</f>
        <v/>
      </c>
    </row>
    <row r="14" spans="1:16" x14ac:dyDescent="0.2">
      <c r="A14" s="17">
        <v>12</v>
      </c>
      <c r="B14" s="29" t="str">
        <f>IF(Feeds!A13&gt;0,Feeds!A13,"")</f>
        <v/>
      </c>
      <c r="C14" s="23"/>
      <c r="D14" s="23"/>
      <c r="E14" s="23"/>
      <c r="F14" s="23"/>
      <c r="G14" s="23"/>
      <c r="H14" s="23"/>
      <c r="I14" s="23"/>
      <c r="J14" s="23"/>
      <c r="K14" s="23"/>
      <c r="L14" s="23"/>
      <c r="M14" s="114" t="str">
        <f>IF(Feeds!I13&gt;0,Feeds!I13,"")</f>
        <v/>
      </c>
      <c r="N14" s="115" t="str">
        <f>IF(SUM(C14:L14)&gt;0,(SUMPRODUCT(C14:L14,C$27:L$27,C$28:L$28)/365)/2000/(1-Feeds!F13),"")</f>
        <v/>
      </c>
      <c r="O14" s="116" t="str">
        <f>IF(AND(P14&lt;&gt;"",P14&lt;&gt;0),P14+Feeds!L13,"")</f>
        <v/>
      </c>
      <c r="P14" s="111" t="str">
        <f>IF(N14&lt;&gt;"",Feeds!I13/'Proposed Rations'!N14,"")</f>
        <v/>
      </c>
    </row>
    <row r="15" spans="1:16" x14ac:dyDescent="0.2">
      <c r="A15" s="17">
        <v>13</v>
      </c>
      <c r="B15" s="29" t="str">
        <f>IF(Feeds!A14&gt;0,Feeds!A14,"")</f>
        <v/>
      </c>
      <c r="C15" s="23"/>
      <c r="D15" s="23"/>
      <c r="E15" s="23"/>
      <c r="F15" s="23"/>
      <c r="G15" s="23"/>
      <c r="H15" s="23"/>
      <c r="I15" s="23"/>
      <c r="J15" s="23"/>
      <c r="K15" s="23"/>
      <c r="L15" s="23"/>
      <c r="M15" s="114" t="str">
        <f>IF(Feeds!I14&gt;0,Feeds!I14,"")</f>
        <v/>
      </c>
      <c r="N15" s="115" t="str">
        <f>IF(SUM(C15:L15)&gt;0,(SUMPRODUCT(C15:L15,C$27:L$27,C$28:L$28)/365)/2000/(1-Feeds!F14),"")</f>
        <v/>
      </c>
      <c r="O15" s="116" t="str">
        <f>IF(AND(P15&lt;&gt;"",P15&lt;&gt;0),P15+Feeds!L14,"")</f>
        <v/>
      </c>
      <c r="P15" s="111" t="str">
        <f>IF(N15&lt;&gt;"",Feeds!I14/'Proposed Rations'!N15,"")</f>
        <v/>
      </c>
    </row>
    <row r="16" spans="1:16" x14ac:dyDescent="0.2">
      <c r="A16" s="17">
        <v>14</v>
      </c>
      <c r="B16" s="29" t="str">
        <f>IF(Feeds!A15&gt;0,Feeds!A15,"")</f>
        <v/>
      </c>
      <c r="C16" s="23"/>
      <c r="D16" s="23"/>
      <c r="E16" s="23"/>
      <c r="F16" s="23"/>
      <c r="G16" s="23"/>
      <c r="H16" s="23"/>
      <c r="I16" s="23"/>
      <c r="J16" s="23"/>
      <c r="K16" s="23"/>
      <c r="L16" s="23"/>
      <c r="M16" s="114" t="str">
        <f>IF(Feeds!I15&gt;0,Feeds!I15,"")</f>
        <v/>
      </c>
      <c r="N16" s="115" t="str">
        <f>IF(SUM(C16:L16)&gt;0,(SUMPRODUCT(C16:L16,C$27:L$27,C$28:L$28)/365)/2000/(1-Feeds!F15),"")</f>
        <v/>
      </c>
      <c r="O16" s="116" t="str">
        <f>IF(AND(P16&lt;&gt;"",P16&lt;&gt;0),P16+Feeds!L15,"")</f>
        <v/>
      </c>
      <c r="P16" s="111" t="str">
        <f>IF(N16&lt;&gt;"",Feeds!I15/'Proposed Rations'!N16,"")</f>
        <v/>
      </c>
    </row>
    <row r="17" spans="1:16" x14ac:dyDescent="0.2">
      <c r="A17" s="17">
        <v>15</v>
      </c>
      <c r="B17" s="29" t="str">
        <f>IF(Feeds!A16&gt;0,Feeds!A16,"")</f>
        <v/>
      </c>
      <c r="C17" s="23"/>
      <c r="D17" s="23"/>
      <c r="E17" s="23"/>
      <c r="F17" s="23"/>
      <c r="G17" s="23"/>
      <c r="H17" s="23"/>
      <c r="I17" s="23"/>
      <c r="J17" s="23"/>
      <c r="K17" s="23"/>
      <c r="L17" s="23"/>
      <c r="M17" s="114" t="str">
        <f>IF(Feeds!I16&gt;0,Feeds!I16,"")</f>
        <v/>
      </c>
      <c r="N17" s="115" t="str">
        <f>IF(SUM(C17:L17)&gt;0,(SUMPRODUCT(C17:L17,C$27:L$27,C$28:L$28)/365)/2000/(1-Feeds!F16),"")</f>
        <v/>
      </c>
      <c r="O17" s="116" t="str">
        <f>IF(AND(P17&lt;&gt;"",P17&lt;&gt;0),P17+Feeds!L16,"")</f>
        <v/>
      </c>
      <c r="P17" s="111" t="str">
        <f>IF(N17&lt;&gt;"",Feeds!I16/'Proposed Rations'!N17,"")</f>
        <v/>
      </c>
    </row>
    <row r="18" spans="1:16" x14ac:dyDescent="0.2">
      <c r="A18" s="17">
        <v>16</v>
      </c>
      <c r="B18" s="29" t="str">
        <f>IF(Feeds!A17&gt;0,Feeds!A17,"")</f>
        <v/>
      </c>
      <c r="C18" s="23"/>
      <c r="D18" s="23"/>
      <c r="E18" s="23"/>
      <c r="F18" s="23"/>
      <c r="G18" s="23"/>
      <c r="H18" s="23"/>
      <c r="I18" s="23"/>
      <c r="J18" s="23"/>
      <c r="K18" s="23"/>
      <c r="L18" s="23"/>
      <c r="M18" s="114" t="str">
        <f>IF(Feeds!I17&gt;0,Feeds!I17,"")</f>
        <v/>
      </c>
      <c r="N18" s="115" t="str">
        <f>IF(SUM(C18:L18)&gt;0,(SUMPRODUCT(C18:L18,C$27:L$27,C$28:L$28)/365)/2000/(1-Feeds!F17),"")</f>
        <v/>
      </c>
      <c r="O18" s="116" t="str">
        <f>IF(AND(P18&lt;&gt;"",P18&lt;&gt;0),P18+Feeds!L17,"")</f>
        <v/>
      </c>
      <c r="P18" s="111" t="str">
        <f>IF(N18&lt;&gt;"",Feeds!I17/'Proposed Rations'!N18,"")</f>
        <v/>
      </c>
    </row>
    <row r="19" spans="1:16" x14ac:dyDescent="0.2">
      <c r="A19" s="17">
        <v>17</v>
      </c>
      <c r="B19" s="29" t="str">
        <f>IF(Feeds!A18&gt;0,Feeds!A18,"")</f>
        <v/>
      </c>
      <c r="C19" s="23"/>
      <c r="D19" s="23"/>
      <c r="E19" s="23"/>
      <c r="F19" s="23"/>
      <c r="G19" s="23"/>
      <c r="H19" s="23"/>
      <c r="I19" s="23"/>
      <c r="J19" s="23"/>
      <c r="K19" s="23"/>
      <c r="L19" s="23"/>
      <c r="M19" s="114" t="str">
        <f>IF(Feeds!I18&gt;0,Feeds!I18,"")</f>
        <v/>
      </c>
      <c r="N19" s="115" t="str">
        <f>IF(SUM(C19:L19)&gt;0,(SUMPRODUCT(C19:L19,C$27:L$27,C$28:L$28)/365)/2000/(1-Feeds!F18),"")</f>
        <v/>
      </c>
      <c r="O19" s="116" t="str">
        <f>IF(AND(P19&lt;&gt;"",P19&lt;&gt;0),P19+Feeds!L18,"")</f>
        <v/>
      </c>
      <c r="P19" s="111" t="str">
        <f>IF(N19&lt;&gt;"",Feeds!I18/'Proposed Rations'!N19,"")</f>
        <v/>
      </c>
    </row>
    <row r="20" spans="1:16" x14ac:dyDescent="0.2">
      <c r="A20" s="17">
        <v>18</v>
      </c>
      <c r="B20" s="29" t="str">
        <f>IF(Feeds!A19&gt;0,Feeds!A19,"")</f>
        <v/>
      </c>
      <c r="C20" s="23"/>
      <c r="D20" s="23"/>
      <c r="E20" s="23"/>
      <c r="F20" s="23"/>
      <c r="G20" s="23"/>
      <c r="H20" s="23"/>
      <c r="I20" s="23"/>
      <c r="J20" s="23"/>
      <c r="K20" s="23"/>
      <c r="L20" s="23"/>
      <c r="M20" s="114" t="str">
        <f>IF(Feeds!I19&gt;0,Feeds!I19,"")</f>
        <v/>
      </c>
      <c r="N20" s="115" t="str">
        <f>IF(SUM(C20:L20)&gt;0,(SUMPRODUCT(C20:L20,C$27:L$27,C$28:L$28)/365)/2000/(1-Feeds!F19),"")</f>
        <v/>
      </c>
      <c r="O20" s="116" t="str">
        <f>IF(AND(P20&lt;&gt;"",P20&lt;&gt;0),P20+Feeds!L19,"")</f>
        <v/>
      </c>
      <c r="P20" s="111" t="str">
        <f>IF(N20&lt;&gt;"",Feeds!I19/'Proposed Rations'!N20,"")</f>
        <v/>
      </c>
    </row>
    <row r="21" spans="1:16" x14ac:dyDescent="0.2">
      <c r="A21" s="17">
        <v>19</v>
      </c>
      <c r="B21" s="29" t="str">
        <f>IF(Feeds!A20&gt;0,Feeds!A20,"")</f>
        <v/>
      </c>
      <c r="C21" s="23"/>
      <c r="D21" s="23"/>
      <c r="E21" s="23"/>
      <c r="F21" s="23"/>
      <c r="G21" s="23"/>
      <c r="H21" s="23"/>
      <c r="I21" s="23"/>
      <c r="J21" s="23"/>
      <c r="K21" s="23"/>
      <c r="L21" s="23"/>
      <c r="M21" s="114" t="str">
        <f>IF(Feeds!I20&gt;0,Feeds!I20,"")</f>
        <v/>
      </c>
      <c r="N21" s="115" t="str">
        <f>IF(SUM(C21:L21)&gt;0,(SUMPRODUCT(C21:L21,C$27:L$27,C$28:L$28)/365)/2000/(1-Feeds!F20),"")</f>
        <v/>
      </c>
      <c r="O21" s="116" t="str">
        <f>IF(AND(P21&lt;&gt;"",P21&lt;&gt;0),P21+Feeds!L20,"")</f>
        <v/>
      </c>
      <c r="P21" s="111" t="str">
        <f>IF(N21&lt;&gt;"",Feeds!I20/'Proposed Rations'!N21,"")</f>
        <v/>
      </c>
    </row>
    <row r="22" spans="1:16" x14ac:dyDescent="0.2">
      <c r="A22" s="17">
        <v>20</v>
      </c>
      <c r="B22" s="29" t="str">
        <f>IF(Feeds!A21&gt;0,Feeds!A21,"")</f>
        <v/>
      </c>
      <c r="C22" s="23"/>
      <c r="D22" s="23"/>
      <c r="E22" s="23"/>
      <c r="F22" s="23"/>
      <c r="G22" s="23"/>
      <c r="H22" s="23"/>
      <c r="I22" s="23"/>
      <c r="J22" s="23"/>
      <c r="K22" s="23"/>
      <c r="L22" s="23"/>
      <c r="M22" s="114" t="str">
        <f>IF(Feeds!I21&gt;0,Feeds!I21,"")</f>
        <v/>
      </c>
      <c r="N22" s="115" t="str">
        <f>IF(SUM(C22:L22)&gt;0,(SUMPRODUCT(C22:L22,C$27:L$27,C$28:L$28)/365)/2000/(1-Feeds!F21),"")</f>
        <v/>
      </c>
      <c r="O22" s="116" t="str">
        <f>IF(AND(P22&lt;&gt;"",P22&lt;&gt;0),P22+Feeds!L21,"")</f>
        <v/>
      </c>
      <c r="P22" s="111" t="str">
        <f>IF(N22&lt;&gt;"",Feeds!I21/'Proposed Rations'!N22,"")</f>
        <v/>
      </c>
    </row>
    <row r="23" spans="1:16" ht="13.5" thickBot="1" x14ac:dyDescent="0.25">
      <c r="A23" s="17">
        <v>21</v>
      </c>
      <c r="B23" s="29" t="str">
        <f>IF(Feeds!A22&gt;0,Feeds!A22,"")</f>
        <v/>
      </c>
      <c r="C23" s="24"/>
      <c r="D23" s="24"/>
      <c r="E23" s="24"/>
      <c r="F23" s="24"/>
      <c r="G23" s="24"/>
      <c r="H23" s="24"/>
      <c r="I23" s="24"/>
      <c r="J23" s="24"/>
      <c r="K23" s="24"/>
      <c r="L23" s="24"/>
      <c r="M23" s="117" t="str">
        <f>IF(Feeds!I22&gt;0,Feeds!I22,"")</f>
        <v/>
      </c>
      <c r="N23" s="106" t="str">
        <f>IF(SUM(C23:L23)&gt;0,(SUMPRODUCT(C23:L23,C$27:L$27,C$28:L$28)/365)/2000/(1-Feeds!F22),"")</f>
        <v/>
      </c>
      <c r="O23" s="118" t="str">
        <f>IF(AND(P23&lt;&gt;"",P23&lt;&gt;0),P23+Feeds!L22,"")</f>
        <v/>
      </c>
      <c r="P23" s="111" t="str">
        <f>IF(N23&lt;&gt;"",Feeds!I22/'Proposed Rations'!N23,"")</f>
        <v/>
      </c>
    </row>
    <row r="24" spans="1:16" x14ac:dyDescent="0.2">
      <c r="B24" s="18" t="s">
        <v>10</v>
      </c>
      <c r="C24" s="107" t="str">
        <f>IF(SUM(C4:C23)&gt;0,SUMPRODUCT(C4:C23,Feeds!$M3:$M22),"-")</f>
        <v>-</v>
      </c>
      <c r="D24" s="107" t="str">
        <f>IF(SUM(D4:D23)&gt;0,SUMPRODUCT(D4:D23,Feeds!$M3:$M22),"-")</f>
        <v>-</v>
      </c>
      <c r="E24" s="107" t="str">
        <f>IF(SUM(E4:E23)&gt;0,SUMPRODUCT(E4:E23,Feeds!$M3:$M22),"-")</f>
        <v>-</v>
      </c>
      <c r="F24" s="107" t="str">
        <f>IF(SUM(F4:F23)&gt;0,SUMPRODUCT(F4:F23,Feeds!$M3:$M22),"-")</f>
        <v>-</v>
      </c>
      <c r="G24" s="107" t="str">
        <f>IF(SUM(G4:G23)&gt;0,SUMPRODUCT(G4:G23,Feeds!$M3:$M22),"-")</f>
        <v>-</v>
      </c>
      <c r="H24" s="107" t="str">
        <f>IF(SUM(H4:H23)&gt;0,SUMPRODUCT(H4:H23,Feeds!$M3:$M22),"-")</f>
        <v>-</v>
      </c>
      <c r="I24" s="107" t="str">
        <f>IF(SUM(I4:I23)&gt;0,SUMPRODUCT(I4:I23,Feeds!$M3:$M22),"-")</f>
        <v>-</v>
      </c>
      <c r="J24" s="107" t="str">
        <f>IF(SUM(J4:J23)&gt;0,SUMPRODUCT(J4:J23,Feeds!$M3:$M22),"-")</f>
        <v>-</v>
      </c>
      <c r="K24" s="107" t="str">
        <f>IF(SUM(K4:K23)&gt;0,SUMPRODUCT(K4:K23,Feeds!$M3:$M22),"-")</f>
        <v>-</v>
      </c>
      <c r="L24" s="107" t="str">
        <f>IF(SUM(L4:L23)&gt;0,SUMPRODUCT(L4:L23,Feeds!$M3:$M22),"-")</f>
        <v>-</v>
      </c>
      <c r="M24" s="73"/>
      <c r="N24" s="73"/>
    </row>
    <row r="25" spans="1:16" s="1" customFormat="1" ht="13.5" thickBot="1" x14ac:dyDescent="0.25">
      <c r="B25" s="18" t="s">
        <v>8</v>
      </c>
      <c r="C25" s="19" t="str">
        <f t="shared" ref="C25:L25" si="0">IF(SUM(C4:C23)&gt;0,C26/C24,"-")</f>
        <v>-</v>
      </c>
      <c r="D25" s="19" t="str">
        <f t="shared" si="0"/>
        <v>-</v>
      </c>
      <c r="E25" s="19" t="str">
        <f t="shared" si="0"/>
        <v>-</v>
      </c>
      <c r="F25" s="19" t="str">
        <f t="shared" si="0"/>
        <v>-</v>
      </c>
      <c r="G25" s="19" t="str">
        <f t="shared" si="0"/>
        <v>-</v>
      </c>
      <c r="H25" s="19" t="str">
        <f t="shared" si="0"/>
        <v>-</v>
      </c>
      <c r="I25" s="19" t="str">
        <f t="shared" si="0"/>
        <v>-</v>
      </c>
      <c r="J25" s="19" t="str">
        <f t="shared" si="0"/>
        <v>-</v>
      </c>
      <c r="K25" s="19" t="str">
        <f t="shared" si="0"/>
        <v>-</v>
      </c>
      <c r="L25" s="19" t="str">
        <f t="shared" si="0"/>
        <v>-</v>
      </c>
      <c r="N25" s="201"/>
      <c r="O25" s="201"/>
      <c r="P25" s="201"/>
    </row>
    <row r="26" spans="1:16" s="1" customFormat="1" ht="13.5" thickBot="1" x14ac:dyDescent="0.25">
      <c r="B26" s="16" t="s">
        <v>7</v>
      </c>
      <c r="C26" s="108" t="str">
        <f>IF(SUM(C4:C23)&gt;0,SUM(C4:C23),"-")</f>
        <v>-</v>
      </c>
      <c r="D26" s="108" t="str">
        <f t="shared" ref="D26:L26" si="1">IF(SUM(D4:D23)&gt;0,SUM(D4:D23),"-")</f>
        <v>-</v>
      </c>
      <c r="E26" s="108" t="str">
        <f t="shared" si="1"/>
        <v>-</v>
      </c>
      <c r="F26" s="108" t="str">
        <f t="shared" si="1"/>
        <v>-</v>
      </c>
      <c r="G26" s="108" t="str">
        <f t="shared" si="1"/>
        <v>-</v>
      </c>
      <c r="H26" s="108" t="str">
        <f t="shared" si="1"/>
        <v>-</v>
      </c>
      <c r="I26" s="108" t="str">
        <f t="shared" si="1"/>
        <v>-</v>
      </c>
      <c r="J26" s="108" t="str">
        <f t="shared" si="1"/>
        <v>-</v>
      </c>
      <c r="K26" s="108" t="str">
        <f t="shared" si="1"/>
        <v>-</v>
      </c>
      <c r="L26" s="108" t="str">
        <f t="shared" si="1"/>
        <v>-</v>
      </c>
      <c r="M26" s="202"/>
      <c r="N26" s="309" t="s">
        <v>156</v>
      </c>
      <c r="O26" s="310"/>
      <c r="P26" s="311"/>
    </row>
    <row r="27" spans="1:16" s="1" customFormat="1" x14ac:dyDescent="0.2">
      <c r="B27" s="16" t="s">
        <v>6</v>
      </c>
      <c r="C27" s="227"/>
      <c r="D27" s="227"/>
      <c r="E27" s="227"/>
      <c r="F27" s="227"/>
      <c r="G27" s="227"/>
      <c r="H27" s="227"/>
      <c r="I27" s="227"/>
      <c r="J27" s="227"/>
      <c r="K27" s="227"/>
      <c r="L27" s="227"/>
      <c r="M27" s="202"/>
      <c r="O27" s="16" t="s">
        <v>157</v>
      </c>
      <c r="P27" s="203"/>
    </row>
    <row r="28" spans="1:16" s="1" customFormat="1" x14ac:dyDescent="0.2">
      <c r="B28" s="16" t="s">
        <v>9</v>
      </c>
      <c r="C28" s="227"/>
      <c r="D28" s="227"/>
      <c r="E28" s="227"/>
      <c r="F28" s="227"/>
      <c r="G28" s="227"/>
      <c r="H28" s="227"/>
      <c r="I28" s="227"/>
      <c r="J28" s="227"/>
      <c r="K28" s="227"/>
      <c r="L28" s="227"/>
      <c r="M28" s="202"/>
      <c r="O28" s="16" t="s">
        <v>158</v>
      </c>
      <c r="P28" s="204"/>
    </row>
    <row r="29" spans="1:16" s="1" customFormat="1" x14ac:dyDescent="0.2">
      <c r="B29" s="16" t="s">
        <v>30</v>
      </c>
      <c r="C29" s="25"/>
      <c r="D29" s="25"/>
      <c r="E29" s="25"/>
      <c r="F29" s="25"/>
      <c r="G29" s="25"/>
      <c r="H29" s="25"/>
      <c r="I29" s="25"/>
      <c r="J29" s="25"/>
      <c r="K29" s="25"/>
      <c r="L29" s="25"/>
      <c r="M29" s="202"/>
      <c r="O29" s="16" t="s">
        <v>159</v>
      </c>
      <c r="P29" s="204"/>
    </row>
    <row r="30" spans="1:16" s="1" customFormat="1" x14ac:dyDescent="0.2">
      <c r="B30" s="16" t="s">
        <v>155</v>
      </c>
      <c r="C30" s="205"/>
      <c r="D30" s="205"/>
      <c r="E30" s="205"/>
      <c r="F30" s="205"/>
      <c r="G30" s="205"/>
      <c r="H30" s="205"/>
      <c r="I30" s="205"/>
      <c r="J30" s="205"/>
      <c r="K30" s="205"/>
      <c r="L30" s="205"/>
      <c r="M30" s="202"/>
      <c r="O30" s="16" t="s">
        <v>160</v>
      </c>
      <c r="P30" s="204"/>
    </row>
    <row r="31" spans="1:16" s="1" customFormat="1" x14ac:dyDescent="0.2">
      <c r="B31" s="16" t="s">
        <v>154</v>
      </c>
      <c r="C31" s="205"/>
      <c r="D31" s="205"/>
      <c r="E31" s="205"/>
      <c r="F31" s="205"/>
      <c r="G31" s="205"/>
      <c r="H31" s="205"/>
      <c r="I31" s="205"/>
      <c r="J31" s="205"/>
      <c r="K31" s="205"/>
      <c r="L31" s="205"/>
      <c r="M31" s="202"/>
      <c r="O31" s="16" t="s">
        <v>161</v>
      </c>
      <c r="P31" s="204"/>
    </row>
    <row r="32" spans="1:16" s="1" customFormat="1" ht="13.5" thickBot="1" x14ac:dyDescent="0.25">
      <c r="B32" s="16" t="s">
        <v>192</v>
      </c>
      <c r="C32" s="205"/>
      <c r="D32" s="205"/>
      <c r="E32" s="205"/>
      <c r="F32" s="205"/>
      <c r="G32" s="205"/>
      <c r="H32" s="205"/>
      <c r="I32" s="205"/>
      <c r="J32" s="205"/>
      <c r="K32" s="205"/>
      <c r="L32" s="205"/>
      <c r="M32" s="202" t="s">
        <v>168</v>
      </c>
      <c r="O32" s="16" t="s">
        <v>193</v>
      </c>
      <c r="P32" s="206">
        <f>ROUND(P44,2)</f>
        <v>0</v>
      </c>
    </row>
    <row r="33" spans="2:16" ht="13.5" thickBot="1" x14ac:dyDescent="0.25">
      <c r="B33" s="16" t="s">
        <v>172</v>
      </c>
      <c r="C33" s="169" t="str">
        <f>IF(SUM(C4:C23)&gt;0,SUMPRODUCT(Feeds!$N3:$N22,(C4:C23/2000)),"-")</f>
        <v>-</v>
      </c>
      <c r="D33" s="169" t="str">
        <f>IF(SUM(D4:D23)&gt;0,SUMPRODUCT(Feeds!$N3:$N22,(D4:D23/2000)),"-")</f>
        <v>-</v>
      </c>
      <c r="E33" s="169" t="str">
        <f>IF(SUM(E4:E23)&gt;0,SUMPRODUCT(Feeds!$N3:$N22,(E4:E23/2000)),"-")</f>
        <v>-</v>
      </c>
      <c r="F33" s="169" t="str">
        <f>IF(SUM(F4:F23)&gt;0,SUMPRODUCT(Feeds!$N3:$N22,(F4:F23/2000)),"-")</f>
        <v>-</v>
      </c>
      <c r="G33" s="169" t="str">
        <f>IF(SUM(G4:G23)&gt;0,SUMPRODUCT(Feeds!$N3:$N22,(G4:G23/2000)),"-")</f>
        <v>-</v>
      </c>
      <c r="H33" s="169" t="str">
        <f>IF(SUM(H4:H23)&gt;0,SUMPRODUCT(Feeds!$N3:$N22,(H4:H23/2000)),"-")</f>
        <v>-</v>
      </c>
      <c r="I33" s="169" t="str">
        <f>IF(SUM(I4:I23)&gt;0,SUMPRODUCT(Feeds!$N3:$N22,(I4:I23/2000)),"-")</f>
        <v>-</v>
      </c>
      <c r="J33" s="169" t="str">
        <f>IF(SUM(J4:J23)&gt;0,SUMPRODUCT(Feeds!$N3:$N22,(J4:J23/2000)),"-")</f>
        <v>-</v>
      </c>
      <c r="K33" s="169" t="str">
        <f>IF(SUM(K4:K23)&gt;0,SUMPRODUCT(Feeds!$N3:$N22,(K4:K23/2000)),"-")</f>
        <v>-</v>
      </c>
      <c r="L33" s="169" t="str">
        <f>IF(SUM(L4:L23)&gt;0,SUMPRODUCT(Feeds!$N3:$N22,(L4:L23/2000)),"-")</f>
        <v>-</v>
      </c>
      <c r="M33" s="169" t="e">
        <f>N52</f>
        <v>#DIV/0!</v>
      </c>
      <c r="N33" s="207"/>
      <c r="O33" s="208" t="s">
        <v>194</v>
      </c>
      <c r="P33" s="215"/>
    </row>
    <row r="34" spans="2:16" x14ac:dyDescent="0.2">
      <c r="B34" s="16" t="s">
        <v>31</v>
      </c>
      <c r="C34" s="169" t="str">
        <f t="shared" ref="C34:L34" si="2">IF(C29&gt;0,C33/(C29/100),"-")</f>
        <v>-</v>
      </c>
      <c r="D34" s="169" t="str">
        <f t="shared" si="2"/>
        <v>-</v>
      </c>
      <c r="E34" s="169" t="str">
        <f t="shared" si="2"/>
        <v>-</v>
      </c>
      <c r="F34" s="169" t="str">
        <f t="shared" si="2"/>
        <v>-</v>
      </c>
      <c r="G34" s="169" t="str">
        <f t="shared" si="2"/>
        <v>-</v>
      </c>
      <c r="H34" s="169" t="str">
        <f t="shared" si="2"/>
        <v>-</v>
      </c>
      <c r="I34" s="169" t="str">
        <f t="shared" si="2"/>
        <v>-</v>
      </c>
      <c r="J34" s="170" t="str">
        <f t="shared" si="2"/>
        <v>-</v>
      </c>
      <c r="K34" s="169" t="str">
        <f t="shared" si="2"/>
        <v>-</v>
      </c>
      <c r="L34" s="169" t="str">
        <f t="shared" si="2"/>
        <v>-</v>
      </c>
      <c r="M34" s="169" t="e">
        <f>N55</f>
        <v>#DIV/0!</v>
      </c>
      <c r="N34" s="67"/>
      <c r="O34" s="1"/>
      <c r="P34" s="1"/>
    </row>
    <row r="35" spans="2:16" x14ac:dyDescent="0.2">
      <c r="B35" s="20" t="s">
        <v>169</v>
      </c>
      <c r="C35" s="169">
        <f>IF(C46="-","-",C46*$P46/100)</f>
        <v>0</v>
      </c>
      <c r="D35" s="169">
        <f t="shared" ref="D35:L35" si="3">IF(D46="-","-",D46*$P46/100)</f>
        <v>0</v>
      </c>
      <c r="E35" s="169">
        <f t="shared" si="3"/>
        <v>0</v>
      </c>
      <c r="F35" s="169">
        <f t="shared" si="3"/>
        <v>0</v>
      </c>
      <c r="G35" s="169">
        <f t="shared" si="3"/>
        <v>0</v>
      </c>
      <c r="H35" s="169">
        <f t="shared" si="3"/>
        <v>0</v>
      </c>
      <c r="I35" s="169">
        <f t="shared" si="3"/>
        <v>0</v>
      </c>
      <c r="J35" s="169">
        <f t="shared" si="3"/>
        <v>0</v>
      </c>
      <c r="K35" s="169">
        <f t="shared" si="3"/>
        <v>0</v>
      </c>
      <c r="L35" s="169">
        <f t="shared" si="3"/>
        <v>0</v>
      </c>
      <c r="M35" s="169" t="e">
        <f>N57</f>
        <v>#DIV/0!</v>
      </c>
      <c r="O35" s="312" t="s">
        <v>195</v>
      </c>
      <c r="P35" s="312"/>
    </row>
    <row r="36" spans="2:16" x14ac:dyDescent="0.2">
      <c r="B36" s="20" t="s">
        <v>162</v>
      </c>
      <c r="C36" s="169">
        <f t="shared" ref="C36:F36" si="4">IF(C33="-",0,C35-C33)</f>
        <v>0</v>
      </c>
      <c r="D36" s="169">
        <f t="shared" si="4"/>
        <v>0</v>
      </c>
      <c r="E36" s="169">
        <f t="shared" si="4"/>
        <v>0</v>
      </c>
      <c r="F36" s="169">
        <f t="shared" si="4"/>
        <v>0</v>
      </c>
      <c r="G36" s="169">
        <f>IF(G33="-",0,G35-G33)</f>
        <v>0</v>
      </c>
      <c r="H36" s="169">
        <f t="shared" ref="H36:L36" si="5">IF(H33="-",0,H35-H33)</f>
        <v>0</v>
      </c>
      <c r="I36" s="169">
        <f t="shared" si="5"/>
        <v>0</v>
      </c>
      <c r="J36" s="169">
        <f t="shared" si="5"/>
        <v>0</v>
      </c>
      <c r="K36" s="169">
        <f t="shared" si="5"/>
        <v>0</v>
      </c>
      <c r="L36" s="169">
        <f t="shared" si="5"/>
        <v>0</v>
      </c>
      <c r="M36" s="169" t="e">
        <f>N59</f>
        <v>#DIV/0!</v>
      </c>
      <c r="O36" s="312"/>
      <c r="P36" s="312"/>
    </row>
    <row r="37" spans="2:16" x14ac:dyDescent="0.2">
      <c r="B37" s="20" t="s">
        <v>196</v>
      </c>
      <c r="C37" s="209">
        <f>IF(C26="-",0,C46/C26)</f>
        <v>0</v>
      </c>
      <c r="D37" s="209">
        <f t="shared" ref="D37:L37" si="6">IF(D26="-",0,D46/D26)</f>
        <v>0</v>
      </c>
      <c r="E37" s="209">
        <f t="shared" si="6"/>
        <v>0</v>
      </c>
      <c r="F37" s="209">
        <f t="shared" si="6"/>
        <v>0</v>
      </c>
      <c r="G37" s="209">
        <f t="shared" si="6"/>
        <v>0</v>
      </c>
      <c r="H37" s="209">
        <f t="shared" si="6"/>
        <v>0</v>
      </c>
      <c r="I37" s="209">
        <f t="shared" si="6"/>
        <v>0</v>
      </c>
      <c r="J37" s="209">
        <f t="shared" si="6"/>
        <v>0</v>
      </c>
      <c r="K37" s="209">
        <f t="shared" si="6"/>
        <v>0</v>
      </c>
      <c r="L37" s="209">
        <f t="shared" si="6"/>
        <v>0</v>
      </c>
      <c r="O37" s="312"/>
      <c r="P37" s="312"/>
    </row>
    <row r="38" spans="2:16" x14ac:dyDescent="0.2">
      <c r="B38" s="165" t="s">
        <v>217</v>
      </c>
    </row>
    <row r="41" spans="2:16" hidden="1" x14ac:dyDescent="0.2"/>
    <row r="42" spans="2:16" hidden="1" x14ac:dyDescent="0.2">
      <c r="B42" s="165" t="s">
        <v>163</v>
      </c>
      <c r="P42" s="167"/>
    </row>
    <row r="43" spans="2:16" hidden="1" x14ac:dyDescent="0.2">
      <c r="B43" s="165" t="s">
        <v>164</v>
      </c>
      <c r="C43" s="210">
        <f>C29*C30</f>
        <v>0</v>
      </c>
      <c r="D43" s="210">
        <f t="shared" ref="D43:L43" si="7">D29*D30</f>
        <v>0</v>
      </c>
      <c r="E43" s="210">
        <f t="shared" si="7"/>
        <v>0</v>
      </c>
      <c r="F43" s="210">
        <f t="shared" si="7"/>
        <v>0</v>
      </c>
      <c r="G43" s="210">
        <f t="shared" si="7"/>
        <v>0</v>
      </c>
      <c r="H43" s="210">
        <f t="shared" si="7"/>
        <v>0</v>
      </c>
      <c r="I43" s="210">
        <f t="shared" si="7"/>
        <v>0</v>
      </c>
      <c r="J43" s="210">
        <f t="shared" si="7"/>
        <v>0</v>
      </c>
      <c r="K43" s="210">
        <f t="shared" si="7"/>
        <v>0</v>
      </c>
      <c r="L43" s="210">
        <f t="shared" si="7"/>
        <v>0</v>
      </c>
      <c r="M43" s="210"/>
      <c r="N43" s="210"/>
      <c r="P43" s="167" t="s">
        <v>197</v>
      </c>
    </row>
    <row r="44" spans="2:16" hidden="1" x14ac:dyDescent="0.2">
      <c r="B44" s="165" t="s">
        <v>165</v>
      </c>
      <c r="C44" s="210">
        <f>C29*C31</f>
        <v>0</v>
      </c>
      <c r="D44" s="210">
        <f t="shared" ref="D44:L44" si="8">D29*D31</f>
        <v>0</v>
      </c>
      <c r="E44" s="210">
        <f t="shared" si="8"/>
        <v>0</v>
      </c>
      <c r="F44" s="210">
        <f t="shared" si="8"/>
        <v>0</v>
      </c>
      <c r="G44" s="210">
        <f t="shared" si="8"/>
        <v>0</v>
      </c>
      <c r="H44" s="210">
        <f t="shared" si="8"/>
        <v>0</v>
      </c>
      <c r="I44" s="210">
        <f t="shared" si="8"/>
        <v>0</v>
      </c>
      <c r="J44" s="210">
        <f t="shared" si="8"/>
        <v>0</v>
      </c>
      <c r="K44" s="210">
        <f t="shared" si="8"/>
        <v>0</v>
      </c>
      <c r="L44" s="210">
        <f t="shared" si="8"/>
        <v>0</v>
      </c>
      <c r="M44" s="210"/>
      <c r="N44" s="210"/>
      <c r="P44" s="17">
        <f>(P28*3.5)+(P29*3)+(P30*5.5537)+(P31)</f>
        <v>0</v>
      </c>
    </row>
    <row r="45" spans="2:16" hidden="1" x14ac:dyDescent="0.2">
      <c r="B45" s="165" t="s">
        <v>166</v>
      </c>
      <c r="C45" s="210">
        <f>C29*C32</f>
        <v>0</v>
      </c>
      <c r="D45" s="210">
        <f t="shared" ref="D45:L45" si="9">D29*D32</f>
        <v>0</v>
      </c>
      <c r="E45" s="210">
        <f t="shared" si="9"/>
        <v>0</v>
      </c>
      <c r="F45" s="210">
        <f t="shared" si="9"/>
        <v>0</v>
      </c>
      <c r="G45" s="210">
        <f t="shared" si="9"/>
        <v>0</v>
      </c>
      <c r="H45" s="210">
        <f t="shared" si="9"/>
        <v>0</v>
      </c>
      <c r="I45" s="210">
        <f t="shared" si="9"/>
        <v>0</v>
      </c>
      <c r="J45" s="210">
        <f t="shared" si="9"/>
        <v>0</v>
      </c>
      <c r="K45" s="210">
        <f t="shared" si="9"/>
        <v>0</v>
      </c>
      <c r="L45" s="210">
        <f t="shared" si="9"/>
        <v>0</v>
      </c>
      <c r="M45" s="210"/>
      <c r="N45" s="210"/>
      <c r="P45" s="167" t="s">
        <v>198</v>
      </c>
    </row>
    <row r="46" spans="2:16" hidden="1" x14ac:dyDescent="0.2">
      <c r="B46" s="165" t="s">
        <v>199</v>
      </c>
      <c r="C46" s="278" t="str">
        <f>IF(C29&gt;0,(0.327*C29)+(12.95*(C29*C30))+(7.2*(C29*C31)),"0")</f>
        <v>0</v>
      </c>
      <c r="D46" s="278" t="str">
        <f t="shared" ref="D46:L46" si="10">IF(D29&gt;0,(0.327*D29)+(12.95*(D29*D30))+(7.2*(D29*D31)),"0")</f>
        <v>0</v>
      </c>
      <c r="E46" s="278" t="str">
        <f t="shared" si="10"/>
        <v>0</v>
      </c>
      <c r="F46" s="278" t="str">
        <f t="shared" si="10"/>
        <v>0</v>
      </c>
      <c r="G46" s="278" t="str">
        <f t="shared" si="10"/>
        <v>0</v>
      </c>
      <c r="H46" s="278" t="str">
        <f t="shared" si="10"/>
        <v>0</v>
      </c>
      <c r="I46" s="278" t="str">
        <f t="shared" si="10"/>
        <v>0</v>
      </c>
      <c r="J46" s="278" t="str">
        <f t="shared" si="10"/>
        <v>0</v>
      </c>
      <c r="K46" s="278" t="str">
        <f t="shared" si="10"/>
        <v>0</v>
      </c>
      <c r="L46" s="278" t="str">
        <f t="shared" si="10"/>
        <v>0</v>
      </c>
      <c r="M46" s="228" t="e">
        <f>M55/M50</f>
        <v>#DIV/0!</v>
      </c>
      <c r="N46" s="210"/>
      <c r="P46" s="17">
        <f>IF(P33="",P44,P33)</f>
        <v>0</v>
      </c>
    </row>
    <row r="47" spans="2:16" hidden="1" x14ac:dyDescent="0.2">
      <c r="B47" s="165"/>
      <c r="C47" s="211"/>
      <c r="D47" s="211"/>
      <c r="E47" s="211"/>
      <c r="F47" s="211"/>
      <c r="G47" s="211"/>
      <c r="H47" s="211"/>
      <c r="I47" s="211"/>
      <c r="J47" s="211"/>
      <c r="K47" s="211"/>
      <c r="L47" s="211"/>
      <c r="M47" s="210"/>
      <c r="N47" s="210"/>
    </row>
    <row r="48" spans="2:16" hidden="1" x14ac:dyDescent="0.2">
      <c r="B48" s="165" t="s">
        <v>200</v>
      </c>
      <c r="C48" s="211" t="e">
        <f>IF(C35="-",IF(C33="-",0,0-C33),C35-C33)</f>
        <v>#VALUE!</v>
      </c>
      <c r="D48" s="211" t="e">
        <f t="shared" ref="D48:L48" si="11">IF(D35="-",IF(D33="-",0,0-D33),D35-D33)</f>
        <v>#VALUE!</v>
      </c>
      <c r="E48" s="211" t="e">
        <f t="shared" si="11"/>
        <v>#VALUE!</v>
      </c>
      <c r="F48" s="211" t="e">
        <f t="shared" si="11"/>
        <v>#VALUE!</v>
      </c>
      <c r="G48" s="211" t="e">
        <f t="shared" si="11"/>
        <v>#VALUE!</v>
      </c>
      <c r="H48" s="211" t="e">
        <f t="shared" si="11"/>
        <v>#VALUE!</v>
      </c>
      <c r="I48" s="211" t="e">
        <f t="shared" si="11"/>
        <v>#VALUE!</v>
      </c>
      <c r="J48" s="211" t="e">
        <f t="shared" si="11"/>
        <v>#VALUE!</v>
      </c>
      <c r="K48" s="211" t="e">
        <f t="shared" si="11"/>
        <v>#VALUE!</v>
      </c>
      <c r="L48" s="211" t="e">
        <f t="shared" si="11"/>
        <v>#VALUE!</v>
      </c>
      <c r="M48" s="210"/>
      <c r="N48" s="210"/>
    </row>
    <row r="49" spans="2:16" hidden="1" x14ac:dyDescent="0.2">
      <c r="C49" s="210"/>
      <c r="D49" s="210"/>
      <c r="E49" s="210"/>
      <c r="F49" s="210"/>
      <c r="G49" s="210"/>
      <c r="H49" s="210"/>
      <c r="I49" s="210"/>
      <c r="J49" s="210"/>
      <c r="K49" s="210"/>
      <c r="L49" s="210"/>
      <c r="M49" s="210" t="s">
        <v>201</v>
      </c>
      <c r="N49" s="210" t="s">
        <v>202</v>
      </c>
    </row>
    <row r="50" spans="2:16" hidden="1" x14ac:dyDescent="0.2">
      <c r="B50" s="165" t="s">
        <v>167</v>
      </c>
      <c r="C50" s="210">
        <f>C28*C27</f>
        <v>0</v>
      </c>
      <c r="D50" s="210">
        <f t="shared" ref="D50:L50" si="12">D28*D27</f>
        <v>0</v>
      </c>
      <c r="E50" s="210">
        <f t="shared" si="12"/>
        <v>0</v>
      </c>
      <c r="F50" s="210">
        <f t="shared" si="12"/>
        <v>0</v>
      </c>
      <c r="G50" s="210">
        <f t="shared" si="12"/>
        <v>0</v>
      </c>
      <c r="H50" s="210">
        <f t="shared" si="12"/>
        <v>0</v>
      </c>
      <c r="I50" s="210">
        <f t="shared" si="12"/>
        <v>0</v>
      </c>
      <c r="J50" s="210">
        <f t="shared" si="12"/>
        <v>0</v>
      </c>
      <c r="K50" s="210">
        <f t="shared" si="12"/>
        <v>0</v>
      </c>
      <c r="L50" s="210">
        <f t="shared" si="12"/>
        <v>0</v>
      </c>
      <c r="M50" s="210">
        <f>SUM(C50:L50)</f>
        <v>0</v>
      </c>
      <c r="N50" s="210"/>
    </row>
    <row r="51" spans="2:16" hidden="1" x14ac:dyDescent="0.2">
      <c r="B51" s="165" t="s">
        <v>203</v>
      </c>
      <c r="C51" s="210">
        <f>IF(C33="-",0,C33)</f>
        <v>0</v>
      </c>
      <c r="D51" s="210">
        <f t="shared" ref="D51:L51" si="13">IF(D33="-",0,D33)</f>
        <v>0</v>
      </c>
      <c r="E51" s="210">
        <f>IF(E33="-",0,E33)</f>
        <v>0</v>
      </c>
      <c r="F51" s="210">
        <f t="shared" si="13"/>
        <v>0</v>
      </c>
      <c r="G51" s="210">
        <f t="shared" si="13"/>
        <v>0</v>
      </c>
      <c r="H51" s="210">
        <f t="shared" si="13"/>
        <v>0</v>
      </c>
      <c r="I51" s="210">
        <f t="shared" si="13"/>
        <v>0</v>
      </c>
      <c r="J51" s="210">
        <f t="shared" si="13"/>
        <v>0</v>
      </c>
      <c r="K51" s="210">
        <f t="shared" si="13"/>
        <v>0</v>
      </c>
      <c r="L51" s="210">
        <f t="shared" si="13"/>
        <v>0</v>
      </c>
      <c r="M51" s="210">
        <f>SUM(C51:L51)</f>
        <v>0</v>
      </c>
      <c r="N51" s="210"/>
      <c r="O51" s="229"/>
    </row>
    <row r="52" spans="2:16" hidden="1" x14ac:dyDescent="0.2">
      <c r="B52" s="165" t="s">
        <v>204</v>
      </c>
      <c r="C52" s="212">
        <f>C51*C50</f>
        <v>0</v>
      </c>
      <c r="D52" s="212">
        <f t="shared" ref="D52:L52" si="14">D51*D50</f>
        <v>0</v>
      </c>
      <c r="E52" s="212">
        <f t="shared" si="14"/>
        <v>0</v>
      </c>
      <c r="F52" s="212">
        <f t="shared" si="14"/>
        <v>0</v>
      </c>
      <c r="G52" s="212">
        <f t="shared" si="14"/>
        <v>0</v>
      </c>
      <c r="H52" s="212">
        <f t="shared" si="14"/>
        <v>0</v>
      </c>
      <c r="I52" s="212">
        <f t="shared" si="14"/>
        <v>0</v>
      </c>
      <c r="J52" s="212">
        <f t="shared" si="14"/>
        <v>0</v>
      </c>
      <c r="K52" s="212">
        <f t="shared" si="14"/>
        <v>0</v>
      </c>
      <c r="L52" s="212">
        <f t="shared" si="14"/>
        <v>0</v>
      </c>
      <c r="M52" s="212">
        <f>SUM(C52:L52)</f>
        <v>0</v>
      </c>
      <c r="N52" s="210" t="e">
        <f>M52/M50</f>
        <v>#DIV/0!</v>
      </c>
      <c r="P52" s="167" t="s">
        <v>238</v>
      </c>
    </row>
    <row r="53" spans="2:16" hidden="1" x14ac:dyDescent="0.2">
      <c r="B53" s="165" t="s">
        <v>205</v>
      </c>
      <c r="C53" s="213">
        <f>IF(C34="-",0,C34)</f>
        <v>0</v>
      </c>
      <c r="D53" s="210">
        <f t="shared" ref="D53:L53" si="15">IF(D34="-",0,D34)</f>
        <v>0</v>
      </c>
      <c r="E53" s="210">
        <f t="shared" si="15"/>
        <v>0</v>
      </c>
      <c r="F53" s="210">
        <f t="shared" si="15"/>
        <v>0</v>
      </c>
      <c r="G53" s="210">
        <f t="shared" si="15"/>
        <v>0</v>
      </c>
      <c r="H53" s="210">
        <f t="shared" si="15"/>
        <v>0</v>
      </c>
      <c r="I53" s="210">
        <f t="shared" si="15"/>
        <v>0</v>
      </c>
      <c r="J53" s="210">
        <f t="shared" si="15"/>
        <v>0</v>
      </c>
      <c r="K53" s="210">
        <f t="shared" si="15"/>
        <v>0</v>
      </c>
      <c r="L53" s="210">
        <f t="shared" si="15"/>
        <v>0</v>
      </c>
      <c r="M53" s="212">
        <f t="shared" ref="M53:M59" si="16">SUM(C53:L53)</f>
        <v>0</v>
      </c>
      <c r="N53" s="210"/>
      <c r="P53" s="17">
        <f>SUM(C27:L27)</f>
        <v>0</v>
      </c>
    </row>
    <row r="54" spans="2:16" hidden="1" x14ac:dyDescent="0.2">
      <c r="B54" s="165" t="s">
        <v>204</v>
      </c>
      <c r="C54" s="210">
        <f>C53*C50</f>
        <v>0</v>
      </c>
      <c r="D54" s="210">
        <f t="shared" ref="D54:L54" si="17">D53*D50</f>
        <v>0</v>
      </c>
      <c r="E54" s="210">
        <f t="shared" si="17"/>
        <v>0</v>
      </c>
      <c r="F54" s="210">
        <f t="shared" si="17"/>
        <v>0</v>
      </c>
      <c r="G54" s="210">
        <f t="shared" si="17"/>
        <v>0</v>
      </c>
      <c r="H54" s="210">
        <f t="shared" si="17"/>
        <v>0</v>
      </c>
      <c r="I54" s="210">
        <f t="shared" si="17"/>
        <v>0</v>
      </c>
      <c r="J54" s="210">
        <f t="shared" si="17"/>
        <v>0</v>
      </c>
      <c r="K54" s="210">
        <f t="shared" si="17"/>
        <v>0</v>
      </c>
      <c r="L54" s="210">
        <f t="shared" si="17"/>
        <v>0</v>
      </c>
      <c r="M54" s="212">
        <f t="shared" si="16"/>
        <v>0</v>
      </c>
      <c r="N54" s="212" t="e">
        <f>M54/M50</f>
        <v>#DIV/0!</v>
      </c>
    </row>
    <row r="55" spans="2:16" hidden="1" x14ac:dyDescent="0.2">
      <c r="B55" s="165" t="s">
        <v>210</v>
      </c>
      <c r="C55" s="210">
        <f>IF(C46="-",0,C46*C50)</f>
        <v>0</v>
      </c>
      <c r="D55" s="210">
        <f t="shared" ref="D55:L55" si="18">IF(D46="-",0,D46*D50)</f>
        <v>0</v>
      </c>
      <c r="E55" s="210">
        <f t="shared" si="18"/>
        <v>0</v>
      </c>
      <c r="F55" s="210">
        <f t="shared" si="18"/>
        <v>0</v>
      </c>
      <c r="G55" s="210">
        <f t="shared" si="18"/>
        <v>0</v>
      </c>
      <c r="H55" s="210">
        <f t="shared" si="18"/>
        <v>0</v>
      </c>
      <c r="I55" s="210">
        <f t="shared" si="18"/>
        <v>0</v>
      </c>
      <c r="J55" s="210">
        <f t="shared" si="18"/>
        <v>0</v>
      </c>
      <c r="K55" s="210">
        <f t="shared" si="18"/>
        <v>0</v>
      </c>
      <c r="L55" s="210">
        <f t="shared" si="18"/>
        <v>0</v>
      </c>
      <c r="M55" s="212">
        <f t="shared" si="16"/>
        <v>0</v>
      </c>
      <c r="N55" s="212" t="e">
        <f>M52/M55*100</f>
        <v>#DIV/0!</v>
      </c>
    </row>
    <row r="56" spans="2:16" hidden="1" x14ac:dyDescent="0.2">
      <c r="B56" s="165" t="s">
        <v>206</v>
      </c>
      <c r="C56" s="210">
        <f>IF(C35="-",0,C35)</f>
        <v>0</v>
      </c>
      <c r="D56" s="210">
        <f t="shared" ref="D56:L56" si="19">IF(D35="-",0,D35)</f>
        <v>0</v>
      </c>
      <c r="E56" s="210">
        <f t="shared" si="19"/>
        <v>0</v>
      </c>
      <c r="F56" s="210">
        <f t="shared" si="19"/>
        <v>0</v>
      </c>
      <c r="G56" s="210">
        <f t="shared" si="19"/>
        <v>0</v>
      </c>
      <c r="H56" s="210">
        <f t="shared" si="19"/>
        <v>0</v>
      </c>
      <c r="I56" s="210">
        <f t="shared" si="19"/>
        <v>0</v>
      </c>
      <c r="J56" s="210">
        <f t="shared" si="19"/>
        <v>0</v>
      </c>
      <c r="K56" s="210">
        <f t="shared" si="19"/>
        <v>0</v>
      </c>
      <c r="L56" s="210">
        <f t="shared" si="19"/>
        <v>0</v>
      </c>
      <c r="M56" s="212">
        <f>SUM(C56:L56)</f>
        <v>0</v>
      </c>
      <c r="N56" s="210"/>
    </row>
    <row r="57" spans="2:16" hidden="1" x14ac:dyDescent="0.2">
      <c r="B57" s="165" t="s">
        <v>207</v>
      </c>
      <c r="C57" s="210">
        <f>C56*C50</f>
        <v>0</v>
      </c>
      <c r="D57" s="210">
        <f t="shared" ref="D57:L57" si="20">D56*D50</f>
        <v>0</v>
      </c>
      <c r="E57" s="210">
        <f t="shared" si="20"/>
        <v>0</v>
      </c>
      <c r="F57" s="210">
        <f t="shared" si="20"/>
        <v>0</v>
      </c>
      <c r="G57" s="210">
        <f t="shared" si="20"/>
        <v>0</v>
      </c>
      <c r="H57" s="210">
        <f t="shared" si="20"/>
        <v>0</v>
      </c>
      <c r="I57" s="210">
        <f t="shared" si="20"/>
        <v>0</v>
      </c>
      <c r="J57" s="210">
        <f t="shared" si="20"/>
        <v>0</v>
      </c>
      <c r="K57" s="210">
        <f t="shared" si="20"/>
        <v>0</v>
      </c>
      <c r="L57" s="210">
        <f t="shared" si="20"/>
        <v>0</v>
      </c>
      <c r="M57" s="212">
        <f t="shared" si="16"/>
        <v>0</v>
      </c>
      <c r="N57" s="212" t="e">
        <f>M57/M50</f>
        <v>#DIV/0!</v>
      </c>
    </row>
    <row r="58" spans="2:16" hidden="1" x14ac:dyDescent="0.2">
      <c r="B58" s="165" t="s">
        <v>208</v>
      </c>
      <c r="C58" s="210">
        <f>IF(C36="-",0,C36)</f>
        <v>0</v>
      </c>
      <c r="D58" s="210">
        <f t="shared" ref="D58:L58" si="21">IF(D36="-",0,D36)</f>
        <v>0</v>
      </c>
      <c r="E58" s="210">
        <f t="shared" si="21"/>
        <v>0</v>
      </c>
      <c r="F58" s="210">
        <f t="shared" si="21"/>
        <v>0</v>
      </c>
      <c r="G58" s="210">
        <f t="shared" si="21"/>
        <v>0</v>
      </c>
      <c r="H58" s="210">
        <f t="shared" si="21"/>
        <v>0</v>
      </c>
      <c r="I58" s="210">
        <f t="shared" si="21"/>
        <v>0</v>
      </c>
      <c r="J58" s="210">
        <f t="shared" si="21"/>
        <v>0</v>
      </c>
      <c r="K58" s="210">
        <f t="shared" si="21"/>
        <v>0</v>
      </c>
      <c r="L58" s="210">
        <f t="shared" si="21"/>
        <v>0</v>
      </c>
      <c r="M58" s="212">
        <f t="shared" si="16"/>
        <v>0</v>
      </c>
      <c r="N58" s="210"/>
    </row>
    <row r="59" spans="2:16" hidden="1" x14ac:dyDescent="0.2">
      <c r="B59" s="165" t="s">
        <v>209</v>
      </c>
      <c r="C59" s="210">
        <f>C58*C50</f>
        <v>0</v>
      </c>
      <c r="D59" s="210">
        <f t="shared" ref="D59:L59" si="22">D58*D50</f>
        <v>0</v>
      </c>
      <c r="E59" s="210">
        <f t="shared" si="22"/>
        <v>0</v>
      </c>
      <c r="F59" s="210">
        <f t="shared" si="22"/>
        <v>0</v>
      </c>
      <c r="G59" s="210">
        <f t="shared" si="22"/>
        <v>0</v>
      </c>
      <c r="H59" s="210">
        <f t="shared" si="22"/>
        <v>0</v>
      </c>
      <c r="I59" s="210">
        <f t="shared" si="22"/>
        <v>0</v>
      </c>
      <c r="J59" s="210">
        <f t="shared" si="22"/>
        <v>0</v>
      </c>
      <c r="K59" s="210">
        <f t="shared" si="22"/>
        <v>0</v>
      </c>
      <c r="L59" s="210">
        <f t="shared" si="22"/>
        <v>0</v>
      </c>
      <c r="M59" s="212">
        <f t="shared" si="16"/>
        <v>0</v>
      </c>
      <c r="N59" s="212" t="e">
        <f>M59/M50</f>
        <v>#DIV/0!</v>
      </c>
    </row>
    <row r="60" spans="2:16" hidden="1" x14ac:dyDescent="0.2"/>
    <row r="61" spans="2:16" hidden="1" x14ac:dyDescent="0.2">
      <c r="B61" s="165" t="s">
        <v>236</v>
      </c>
      <c r="C61" s="17">
        <f>IF(C26="-",0,C50*C26)</f>
        <v>0</v>
      </c>
      <c r="D61" s="17">
        <f t="shared" ref="D61:L61" si="23">IF(D26="-",0,D50*D26)</f>
        <v>0</v>
      </c>
      <c r="E61" s="17">
        <f t="shared" si="23"/>
        <v>0</v>
      </c>
      <c r="F61" s="17">
        <f t="shared" si="23"/>
        <v>0</v>
      </c>
      <c r="G61" s="17">
        <f t="shared" si="23"/>
        <v>0</v>
      </c>
      <c r="H61" s="17">
        <f t="shared" si="23"/>
        <v>0</v>
      </c>
      <c r="I61" s="17">
        <f t="shared" si="23"/>
        <v>0</v>
      </c>
      <c r="J61" s="17">
        <f t="shared" si="23"/>
        <v>0</v>
      </c>
      <c r="K61" s="17">
        <f t="shared" si="23"/>
        <v>0</v>
      </c>
      <c r="L61" s="17">
        <f t="shared" si="23"/>
        <v>0</v>
      </c>
      <c r="M61" s="17">
        <f>SUM(C61:L61)</f>
        <v>0</v>
      </c>
      <c r="N61" s="17" t="e">
        <f>M61/M50</f>
        <v>#DIV/0!</v>
      </c>
      <c r="O61" s="172" t="e">
        <f>M52/M61</f>
        <v>#DIV/0!</v>
      </c>
    </row>
    <row r="62" spans="2:16" hidden="1" x14ac:dyDescent="0.2"/>
    <row r="63" spans="2:16" hidden="1" x14ac:dyDescent="0.2"/>
    <row r="64" spans="2:16" hidden="1" x14ac:dyDescent="0.2"/>
    <row r="65" spans="2:12" hidden="1" x14ac:dyDescent="0.2"/>
    <row r="66" spans="2:12" hidden="1" x14ac:dyDescent="0.2"/>
    <row r="67" spans="2:12" hidden="1" x14ac:dyDescent="0.2"/>
    <row r="68" spans="2:12" hidden="1" x14ac:dyDescent="0.2"/>
    <row r="69" spans="2:12" hidden="1" x14ac:dyDescent="0.2"/>
    <row r="70" spans="2:12" hidden="1" x14ac:dyDescent="0.2">
      <c r="C70" s="167" t="s">
        <v>214</v>
      </c>
    </row>
    <row r="71" spans="2:12" hidden="1" x14ac:dyDescent="0.2">
      <c r="C71" s="167" t="s">
        <v>215</v>
      </c>
    </row>
    <row r="72" spans="2:12" hidden="1" x14ac:dyDescent="0.2">
      <c r="C72" s="167" t="s">
        <v>216</v>
      </c>
    </row>
    <row r="73" spans="2:12" hidden="1" x14ac:dyDescent="0.2">
      <c r="C73" s="160">
        <v>1</v>
      </c>
      <c r="D73" s="160">
        <v>1</v>
      </c>
      <c r="E73" s="160">
        <v>1</v>
      </c>
      <c r="F73" s="160">
        <v>1</v>
      </c>
      <c r="G73" s="160">
        <v>1</v>
      </c>
      <c r="H73" s="160">
        <v>1</v>
      </c>
      <c r="I73" s="160">
        <v>1</v>
      </c>
      <c r="J73" s="160">
        <v>1</v>
      </c>
      <c r="K73" s="160">
        <v>1</v>
      </c>
      <c r="L73" s="160">
        <v>1</v>
      </c>
    </row>
    <row r="74" spans="2:12" hidden="1" x14ac:dyDescent="0.2"/>
    <row r="75" spans="2:12" hidden="1" x14ac:dyDescent="0.2"/>
    <row r="76" spans="2:12" hidden="1" x14ac:dyDescent="0.2"/>
    <row r="77" spans="2:12" hidden="1" x14ac:dyDescent="0.2"/>
    <row r="78" spans="2:12" hidden="1" x14ac:dyDescent="0.2"/>
    <row r="79" spans="2:12" ht="13.5" hidden="1" thickBot="1" x14ac:dyDescent="0.25"/>
    <row r="80" spans="2:12" hidden="1" x14ac:dyDescent="0.2">
      <c r="B80" s="16" t="s">
        <v>214</v>
      </c>
      <c r="C80" s="21">
        <f>C3</f>
        <v>0</v>
      </c>
      <c r="D80" s="21">
        <f t="shared" ref="D80:L80" si="24">D3</f>
        <v>0</v>
      </c>
      <c r="E80" s="21">
        <f t="shared" si="24"/>
        <v>0</v>
      </c>
      <c r="F80" s="21">
        <f t="shared" si="24"/>
        <v>0</v>
      </c>
      <c r="G80" s="21">
        <f t="shared" si="24"/>
        <v>0</v>
      </c>
      <c r="H80" s="21">
        <f t="shared" si="24"/>
        <v>0</v>
      </c>
      <c r="I80" s="21">
        <f t="shared" si="24"/>
        <v>0</v>
      </c>
      <c r="J80" s="21">
        <f t="shared" si="24"/>
        <v>0</v>
      </c>
      <c r="K80" s="21">
        <f t="shared" si="24"/>
        <v>0</v>
      </c>
      <c r="L80" s="21">
        <f t="shared" si="24"/>
        <v>0</v>
      </c>
    </row>
    <row r="81" spans="2:12" hidden="1" x14ac:dyDescent="0.2">
      <c r="B81" s="29" t="str">
        <f>B4</f>
        <v/>
      </c>
      <c r="C81" s="22" t="str">
        <f>IF(C$73=2,C4,"")</f>
        <v/>
      </c>
      <c r="D81" s="22" t="str">
        <f t="shared" ref="D81:L81" si="25">IF(D$73=2,D4,"")</f>
        <v/>
      </c>
      <c r="E81" s="22" t="str">
        <f t="shared" si="25"/>
        <v/>
      </c>
      <c r="F81" s="22" t="str">
        <f t="shared" si="25"/>
        <v/>
      </c>
      <c r="G81" s="22" t="str">
        <f t="shared" si="25"/>
        <v/>
      </c>
      <c r="H81" s="22" t="str">
        <f t="shared" si="25"/>
        <v/>
      </c>
      <c r="I81" s="22" t="str">
        <f t="shared" si="25"/>
        <v/>
      </c>
      <c r="J81" s="22" t="str">
        <f t="shared" si="25"/>
        <v/>
      </c>
      <c r="K81" s="22" t="str">
        <f t="shared" si="25"/>
        <v/>
      </c>
      <c r="L81" s="22" t="str">
        <f t="shared" si="25"/>
        <v/>
      </c>
    </row>
    <row r="82" spans="2:12" hidden="1" x14ac:dyDescent="0.2">
      <c r="B82" s="29" t="str">
        <f t="shared" ref="B82:B100" si="26">B5</f>
        <v/>
      </c>
      <c r="C82" s="22" t="str">
        <f t="shared" ref="C82:L97" si="27">IF(C$73=2,C5,"")</f>
        <v/>
      </c>
      <c r="D82" s="22" t="str">
        <f t="shared" si="27"/>
        <v/>
      </c>
      <c r="E82" s="22" t="str">
        <f t="shared" si="27"/>
        <v/>
      </c>
      <c r="F82" s="22" t="str">
        <f t="shared" si="27"/>
        <v/>
      </c>
      <c r="G82" s="22" t="str">
        <f t="shared" si="27"/>
        <v/>
      </c>
      <c r="H82" s="22" t="str">
        <f t="shared" si="27"/>
        <v/>
      </c>
      <c r="I82" s="22" t="str">
        <f t="shared" si="27"/>
        <v/>
      </c>
      <c r="J82" s="22" t="str">
        <f t="shared" si="27"/>
        <v/>
      </c>
      <c r="K82" s="22" t="str">
        <f t="shared" si="27"/>
        <v/>
      </c>
      <c r="L82" s="22" t="str">
        <f t="shared" si="27"/>
        <v/>
      </c>
    </row>
    <row r="83" spans="2:12" hidden="1" x14ac:dyDescent="0.2">
      <c r="B83" s="29" t="str">
        <f t="shared" si="26"/>
        <v/>
      </c>
      <c r="C83" s="22" t="str">
        <f t="shared" si="27"/>
        <v/>
      </c>
      <c r="D83" s="22" t="str">
        <f t="shared" si="27"/>
        <v/>
      </c>
      <c r="E83" s="22" t="str">
        <f t="shared" si="27"/>
        <v/>
      </c>
      <c r="F83" s="22" t="str">
        <f t="shared" si="27"/>
        <v/>
      </c>
      <c r="G83" s="22" t="str">
        <f t="shared" si="27"/>
        <v/>
      </c>
      <c r="H83" s="22" t="str">
        <f t="shared" si="27"/>
        <v/>
      </c>
      <c r="I83" s="22" t="str">
        <f t="shared" si="27"/>
        <v/>
      </c>
      <c r="J83" s="22" t="str">
        <f t="shared" si="27"/>
        <v/>
      </c>
      <c r="K83" s="22" t="str">
        <f t="shared" si="27"/>
        <v/>
      </c>
      <c r="L83" s="22" t="str">
        <f t="shared" si="27"/>
        <v/>
      </c>
    </row>
    <row r="84" spans="2:12" hidden="1" x14ac:dyDescent="0.2">
      <c r="B84" s="29" t="str">
        <f t="shared" si="26"/>
        <v/>
      </c>
      <c r="C84" s="22" t="str">
        <f t="shared" si="27"/>
        <v/>
      </c>
      <c r="D84" s="22" t="str">
        <f t="shared" si="27"/>
        <v/>
      </c>
      <c r="E84" s="22" t="str">
        <f t="shared" si="27"/>
        <v/>
      </c>
      <c r="F84" s="22" t="str">
        <f t="shared" si="27"/>
        <v/>
      </c>
      <c r="G84" s="22" t="str">
        <f t="shared" si="27"/>
        <v/>
      </c>
      <c r="H84" s="22" t="str">
        <f t="shared" si="27"/>
        <v/>
      </c>
      <c r="I84" s="22" t="str">
        <f t="shared" si="27"/>
        <v/>
      </c>
      <c r="J84" s="22" t="str">
        <f t="shared" si="27"/>
        <v/>
      </c>
      <c r="K84" s="22" t="str">
        <f t="shared" si="27"/>
        <v/>
      </c>
      <c r="L84" s="22" t="str">
        <f t="shared" si="27"/>
        <v/>
      </c>
    </row>
    <row r="85" spans="2:12" hidden="1" x14ac:dyDescent="0.2">
      <c r="B85" s="29" t="str">
        <f t="shared" si="26"/>
        <v/>
      </c>
      <c r="C85" s="22" t="str">
        <f t="shared" si="27"/>
        <v/>
      </c>
      <c r="D85" s="22" t="str">
        <f t="shared" si="27"/>
        <v/>
      </c>
      <c r="E85" s="22" t="str">
        <f t="shared" si="27"/>
        <v/>
      </c>
      <c r="F85" s="22" t="str">
        <f t="shared" si="27"/>
        <v/>
      </c>
      <c r="G85" s="22" t="str">
        <f t="shared" si="27"/>
        <v/>
      </c>
      <c r="H85" s="22" t="str">
        <f t="shared" si="27"/>
        <v/>
      </c>
      <c r="I85" s="22" t="str">
        <f t="shared" si="27"/>
        <v/>
      </c>
      <c r="J85" s="22" t="str">
        <f t="shared" si="27"/>
        <v/>
      </c>
      <c r="K85" s="22" t="str">
        <f t="shared" si="27"/>
        <v/>
      </c>
      <c r="L85" s="22" t="str">
        <f t="shared" si="27"/>
        <v/>
      </c>
    </row>
    <row r="86" spans="2:12" hidden="1" x14ac:dyDescent="0.2">
      <c r="B86" s="29" t="str">
        <f t="shared" si="26"/>
        <v/>
      </c>
      <c r="C86" s="22" t="str">
        <f t="shared" si="27"/>
        <v/>
      </c>
      <c r="D86" s="22" t="str">
        <f t="shared" si="27"/>
        <v/>
      </c>
      <c r="E86" s="22" t="str">
        <f t="shared" si="27"/>
        <v/>
      </c>
      <c r="F86" s="22" t="str">
        <f t="shared" si="27"/>
        <v/>
      </c>
      <c r="G86" s="22" t="str">
        <f t="shared" si="27"/>
        <v/>
      </c>
      <c r="H86" s="22" t="str">
        <f t="shared" si="27"/>
        <v/>
      </c>
      <c r="I86" s="22" t="str">
        <f t="shared" si="27"/>
        <v/>
      </c>
      <c r="J86" s="22" t="str">
        <f t="shared" si="27"/>
        <v/>
      </c>
      <c r="K86" s="22" t="str">
        <f t="shared" si="27"/>
        <v/>
      </c>
      <c r="L86" s="22" t="str">
        <f t="shared" si="27"/>
        <v/>
      </c>
    </row>
    <row r="87" spans="2:12" hidden="1" x14ac:dyDescent="0.2">
      <c r="B87" s="29" t="str">
        <f t="shared" si="26"/>
        <v/>
      </c>
      <c r="C87" s="22" t="str">
        <f t="shared" si="27"/>
        <v/>
      </c>
      <c r="D87" s="22" t="str">
        <f t="shared" si="27"/>
        <v/>
      </c>
      <c r="E87" s="22" t="str">
        <f t="shared" si="27"/>
        <v/>
      </c>
      <c r="F87" s="22" t="str">
        <f t="shared" si="27"/>
        <v/>
      </c>
      <c r="G87" s="22" t="str">
        <f t="shared" si="27"/>
        <v/>
      </c>
      <c r="H87" s="22" t="str">
        <f t="shared" si="27"/>
        <v/>
      </c>
      <c r="I87" s="22" t="str">
        <f t="shared" si="27"/>
        <v/>
      </c>
      <c r="J87" s="22" t="str">
        <f t="shared" si="27"/>
        <v/>
      </c>
      <c r="K87" s="22" t="str">
        <f t="shared" si="27"/>
        <v/>
      </c>
      <c r="L87" s="22" t="str">
        <f t="shared" si="27"/>
        <v/>
      </c>
    </row>
    <row r="88" spans="2:12" hidden="1" x14ac:dyDescent="0.2">
      <c r="B88" s="29" t="str">
        <f t="shared" si="26"/>
        <v/>
      </c>
      <c r="C88" s="22" t="str">
        <f t="shared" si="27"/>
        <v/>
      </c>
      <c r="D88" s="22" t="str">
        <f t="shared" si="27"/>
        <v/>
      </c>
      <c r="E88" s="22" t="str">
        <f t="shared" si="27"/>
        <v/>
      </c>
      <c r="F88" s="22" t="str">
        <f t="shared" si="27"/>
        <v/>
      </c>
      <c r="G88" s="22" t="str">
        <f t="shared" si="27"/>
        <v/>
      </c>
      <c r="H88" s="22" t="str">
        <f t="shared" si="27"/>
        <v/>
      </c>
      <c r="I88" s="22" t="str">
        <f t="shared" si="27"/>
        <v/>
      </c>
      <c r="J88" s="22" t="str">
        <f t="shared" si="27"/>
        <v/>
      </c>
      <c r="K88" s="22" t="str">
        <f t="shared" si="27"/>
        <v/>
      </c>
      <c r="L88" s="22" t="str">
        <f t="shared" si="27"/>
        <v/>
      </c>
    </row>
    <row r="89" spans="2:12" hidden="1" x14ac:dyDescent="0.2">
      <c r="B89" s="29" t="str">
        <f t="shared" si="26"/>
        <v/>
      </c>
      <c r="C89" s="22" t="str">
        <f t="shared" si="27"/>
        <v/>
      </c>
      <c r="D89" s="22" t="str">
        <f t="shared" si="27"/>
        <v/>
      </c>
      <c r="E89" s="22" t="str">
        <f t="shared" si="27"/>
        <v/>
      </c>
      <c r="F89" s="22" t="str">
        <f t="shared" si="27"/>
        <v/>
      </c>
      <c r="G89" s="22" t="str">
        <f t="shared" si="27"/>
        <v/>
      </c>
      <c r="H89" s="22" t="str">
        <f t="shared" si="27"/>
        <v/>
      </c>
      <c r="I89" s="22" t="str">
        <f t="shared" si="27"/>
        <v/>
      </c>
      <c r="J89" s="22" t="str">
        <f t="shared" si="27"/>
        <v/>
      </c>
      <c r="K89" s="22" t="str">
        <f t="shared" si="27"/>
        <v/>
      </c>
      <c r="L89" s="22" t="str">
        <f t="shared" si="27"/>
        <v/>
      </c>
    </row>
    <row r="90" spans="2:12" hidden="1" x14ac:dyDescent="0.2">
      <c r="B90" s="29" t="str">
        <f t="shared" si="26"/>
        <v/>
      </c>
      <c r="C90" s="22" t="str">
        <f t="shared" si="27"/>
        <v/>
      </c>
      <c r="D90" s="22" t="str">
        <f t="shared" si="27"/>
        <v/>
      </c>
      <c r="E90" s="22" t="str">
        <f t="shared" si="27"/>
        <v/>
      </c>
      <c r="F90" s="22" t="str">
        <f t="shared" si="27"/>
        <v/>
      </c>
      <c r="G90" s="22" t="str">
        <f t="shared" si="27"/>
        <v/>
      </c>
      <c r="H90" s="22" t="str">
        <f t="shared" si="27"/>
        <v/>
      </c>
      <c r="I90" s="22" t="str">
        <f t="shared" si="27"/>
        <v/>
      </c>
      <c r="J90" s="22" t="str">
        <f t="shared" si="27"/>
        <v/>
      </c>
      <c r="K90" s="22" t="str">
        <f t="shared" si="27"/>
        <v/>
      </c>
      <c r="L90" s="22" t="str">
        <f t="shared" si="27"/>
        <v/>
      </c>
    </row>
    <row r="91" spans="2:12" hidden="1" x14ac:dyDescent="0.2">
      <c r="B91" s="29" t="str">
        <f t="shared" si="26"/>
        <v/>
      </c>
      <c r="C91" s="22" t="str">
        <f t="shared" si="27"/>
        <v/>
      </c>
      <c r="D91" s="22" t="str">
        <f t="shared" si="27"/>
        <v/>
      </c>
      <c r="E91" s="22" t="str">
        <f t="shared" si="27"/>
        <v/>
      </c>
      <c r="F91" s="22" t="str">
        <f t="shared" si="27"/>
        <v/>
      </c>
      <c r="G91" s="22" t="str">
        <f t="shared" si="27"/>
        <v/>
      </c>
      <c r="H91" s="22" t="str">
        <f t="shared" si="27"/>
        <v/>
      </c>
      <c r="I91" s="22" t="str">
        <f t="shared" si="27"/>
        <v/>
      </c>
      <c r="J91" s="22" t="str">
        <f t="shared" si="27"/>
        <v/>
      </c>
      <c r="K91" s="22" t="str">
        <f t="shared" si="27"/>
        <v/>
      </c>
      <c r="L91" s="22" t="str">
        <f t="shared" si="27"/>
        <v/>
      </c>
    </row>
    <row r="92" spans="2:12" hidden="1" x14ac:dyDescent="0.2">
      <c r="B92" s="29" t="str">
        <f t="shared" si="26"/>
        <v/>
      </c>
      <c r="C92" s="22" t="str">
        <f t="shared" si="27"/>
        <v/>
      </c>
      <c r="D92" s="22" t="str">
        <f t="shared" si="27"/>
        <v/>
      </c>
      <c r="E92" s="22" t="str">
        <f t="shared" si="27"/>
        <v/>
      </c>
      <c r="F92" s="22" t="str">
        <f t="shared" si="27"/>
        <v/>
      </c>
      <c r="G92" s="22" t="str">
        <f t="shared" si="27"/>
        <v/>
      </c>
      <c r="H92" s="22" t="str">
        <f t="shared" si="27"/>
        <v/>
      </c>
      <c r="I92" s="22" t="str">
        <f t="shared" si="27"/>
        <v/>
      </c>
      <c r="J92" s="22" t="str">
        <f t="shared" si="27"/>
        <v/>
      </c>
      <c r="K92" s="22" t="str">
        <f t="shared" si="27"/>
        <v/>
      </c>
      <c r="L92" s="22" t="str">
        <f t="shared" si="27"/>
        <v/>
      </c>
    </row>
    <row r="93" spans="2:12" hidden="1" x14ac:dyDescent="0.2">
      <c r="B93" s="29" t="str">
        <f t="shared" si="26"/>
        <v/>
      </c>
      <c r="C93" s="22" t="str">
        <f t="shared" si="27"/>
        <v/>
      </c>
      <c r="D93" s="22" t="str">
        <f t="shared" si="27"/>
        <v/>
      </c>
      <c r="E93" s="22" t="str">
        <f t="shared" si="27"/>
        <v/>
      </c>
      <c r="F93" s="22" t="str">
        <f t="shared" si="27"/>
        <v/>
      </c>
      <c r="G93" s="22" t="str">
        <f t="shared" si="27"/>
        <v/>
      </c>
      <c r="H93" s="22" t="str">
        <f t="shared" si="27"/>
        <v/>
      </c>
      <c r="I93" s="22" t="str">
        <f t="shared" si="27"/>
        <v/>
      </c>
      <c r="J93" s="22" t="str">
        <f t="shared" si="27"/>
        <v/>
      </c>
      <c r="K93" s="22" t="str">
        <f t="shared" si="27"/>
        <v/>
      </c>
      <c r="L93" s="22" t="str">
        <f t="shared" si="27"/>
        <v/>
      </c>
    </row>
    <row r="94" spans="2:12" hidden="1" x14ac:dyDescent="0.2">
      <c r="B94" s="29" t="str">
        <f t="shared" si="26"/>
        <v/>
      </c>
      <c r="C94" s="22" t="str">
        <f t="shared" si="27"/>
        <v/>
      </c>
      <c r="D94" s="22" t="str">
        <f t="shared" si="27"/>
        <v/>
      </c>
      <c r="E94" s="22" t="str">
        <f t="shared" si="27"/>
        <v/>
      </c>
      <c r="F94" s="22" t="str">
        <f t="shared" si="27"/>
        <v/>
      </c>
      <c r="G94" s="22" t="str">
        <f t="shared" si="27"/>
        <v/>
      </c>
      <c r="H94" s="22" t="str">
        <f t="shared" si="27"/>
        <v/>
      </c>
      <c r="I94" s="22" t="str">
        <f t="shared" si="27"/>
        <v/>
      </c>
      <c r="J94" s="22" t="str">
        <f t="shared" si="27"/>
        <v/>
      </c>
      <c r="K94" s="22" t="str">
        <f t="shared" si="27"/>
        <v/>
      </c>
      <c r="L94" s="22" t="str">
        <f t="shared" si="27"/>
        <v/>
      </c>
    </row>
    <row r="95" spans="2:12" hidden="1" x14ac:dyDescent="0.2">
      <c r="B95" s="29" t="str">
        <f t="shared" si="26"/>
        <v/>
      </c>
      <c r="C95" s="22" t="str">
        <f t="shared" si="27"/>
        <v/>
      </c>
      <c r="D95" s="22" t="str">
        <f t="shared" si="27"/>
        <v/>
      </c>
      <c r="E95" s="22" t="str">
        <f t="shared" si="27"/>
        <v/>
      </c>
      <c r="F95" s="22" t="str">
        <f t="shared" si="27"/>
        <v/>
      </c>
      <c r="G95" s="22" t="str">
        <f t="shared" si="27"/>
        <v/>
      </c>
      <c r="H95" s="22" t="str">
        <f t="shared" si="27"/>
        <v/>
      </c>
      <c r="I95" s="22" t="str">
        <f t="shared" si="27"/>
        <v/>
      </c>
      <c r="J95" s="22" t="str">
        <f t="shared" si="27"/>
        <v/>
      </c>
      <c r="K95" s="22" t="str">
        <f t="shared" si="27"/>
        <v/>
      </c>
      <c r="L95" s="22" t="str">
        <f t="shared" si="27"/>
        <v/>
      </c>
    </row>
    <row r="96" spans="2:12" hidden="1" x14ac:dyDescent="0.2">
      <c r="B96" s="29" t="str">
        <f t="shared" si="26"/>
        <v/>
      </c>
      <c r="C96" s="22" t="str">
        <f t="shared" si="27"/>
        <v/>
      </c>
      <c r="D96" s="22" t="str">
        <f t="shared" si="27"/>
        <v/>
      </c>
      <c r="E96" s="22" t="str">
        <f t="shared" si="27"/>
        <v/>
      </c>
      <c r="F96" s="22" t="str">
        <f t="shared" si="27"/>
        <v/>
      </c>
      <c r="G96" s="22" t="str">
        <f t="shared" si="27"/>
        <v/>
      </c>
      <c r="H96" s="22" t="str">
        <f t="shared" si="27"/>
        <v/>
      </c>
      <c r="I96" s="22" t="str">
        <f t="shared" si="27"/>
        <v/>
      </c>
      <c r="J96" s="22" t="str">
        <f t="shared" si="27"/>
        <v/>
      </c>
      <c r="K96" s="22" t="str">
        <f t="shared" si="27"/>
        <v/>
      </c>
      <c r="L96" s="22" t="str">
        <f t="shared" si="27"/>
        <v/>
      </c>
    </row>
    <row r="97" spans="2:12" hidden="1" x14ac:dyDescent="0.2">
      <c r="B97" s="29" t="str">
        <f t="shared" si="26"/>
        <v/>
      </c>
      <c r="C97" s="22" t="str">
        <f t="shared" si="27"/>
        <v/>
      </c>
      <c r="D97" s="22" t="str">
        <f t="shared" si="27"/>
        <v/>
      </c>
      <c r="E97" s="22" t="str">
        <f t="shared" si="27"/>
        <v/>
      </c>
      <c r="F97" s="22" t="str">
        <f t="shared" si="27"/>
        <v/>
      </c>
      <c r="G97" s="22" t="str">
        <f t="shared" si="27"/>
        <v/>
      </c>
      <c r="H97" s="22" t="str">
        <f t="shared" si="27"/>
        <v/>
      </c>
      <c r="I97" s="22" t="str">
        <f t="shared" si="27"/>
        <v/>
      </c>
      <c r="J97" s="22" t="str">
        <f t="shared" si="27"/>
        <v/>
      </c>
      <c r="K97" s="22" t="str">
        <f t="shared" si="27"/>
        <v/>
      </c>
      <c r="L97" s="22" t="str">
        <f t="shared" si="27"/>
        <v/>
      </c>
    </row>
    <row r="98" spans="2:12" hidden="1" x14ac:dyDescent="0.2">
      <c r="B98" s="29" t="str">
        <f t="shared" si="26"/>
        <v/>
      </c>
      <c r="C98" s="22" t="str">
        <f t="shared" ref="C98:L100" si="28">IF(C$73=2,C21,"")</f>
        <v/>
      </c>
      <c r="D98" s="22" t="str">
        <f t="shared" si="28"/>
        <v/>
      </c>
      <c r="E98" s="22" t="str">
        <f t="shared" si="28"/>
        <v/>
      </c>
      <c r="F98" s="22" t="str">
        <f t="shared" si="28"/>
        <v/>
      </c>
      <c r="G98" s="22" t="str">
        <f t="shared" si="28"/>
        <v/>
      </c>
      <c r="H98" s="22" t="str">
        <f t="shared" si="28"/>
        <v/>
      </c>
      <c r="I98" s="22" t="str">
        <f t="shared" si="28"/>
        <v/>
      </c>
      <c r="J98" s="22" t="str">
        <f t="shared" si="28"/>
        <v/>
      </c>
      <c r="K98" s="22" t="str">
        <f t="shared" si="28"/>
        <v/>
      </c>
      <c r="L98" s="22" t="str">
        <f t="shared" si="28"/>
        <v/>
      </c>
    </row>
    <row r="99" spans="2:12" hidden="1" x14ac:dyDescent="0.2">
      <c r="B99" s="29" t="str">
        <f t="shared" si="26"/>
        <v/>
      </c>
      <c r="C99" s="22" t="str">
        <f t="shared" si="28"/>
        <v/>
      </c>
      <c r="D99" s="22" t="str">
        <f t="shared" si="28"/>
        <v/>
      </c>
      <c r="E99" s="22" t="str">
        <f t="shared" si="28"/>
        <v/>
      </c>
      <c r="F99" s="22" t="str">
        <f t="shared" si="28"/>
        <v/>
      </c>
      <c r="G99" s="22" t="str">
        <f t="shared" si="28"/>
        <v/>
      </c>
      <c r="H99" s="22" t="str">
        <f t="shared" si="28"/>
        <v/>
      </c>
      <c r="I99" s="22" t="str">
        <f t="shared" si="28"/>
        <v/>
      </c>
      <c r="J99" s="22" t="str">
        <f t="shared" si="28"/>
        <v/>
      </c>
      <c r="K99" s="22" t="str">
        <f t="shared" si="28"/>
        <v/>
      </c>
      <c r="L99" s="22" t="str">
        <f t="shared" si="28"/>
        <v/>
      </c>
    </row>
    <row r="100" spans="2:12" hidden="1" x14ac:dyDescent="0.2">
      <c r="B100" s="29" t="str">
        <f t="shared" si="26"/>
        <v/>
      </c>
      <c r="C100" s="22" t="str">
        <f t="shared" si="28"/>
        <v/>
      </c>
      <c r="D100" s="22" t="str">
        <f t="shared" si="28"/>
        <v/>
      </c>
      <c r="E100" s="22" t="str">
        <f t="shared" si="28"/>
        <v/>
      </c>
      <c r="F100" s="22" t="str">
        <f t="shared" si="28"/>
        <v/>
      </c>
      <c r="G100" s="22" t="str">
        <f t="shared" si="28"/>
        <v/>
      </c>
      <c r="H100" s="22" t="str">
        <f t="shared" si="28"/>
        <v/>
      </c>
      <c r="I100" s="22" t="str">
        <f t="shared" si="28"/>
        <v/>
      </c>
      <c r="J100" s="22" t="str">
        <f t="shared" si="28"/>
        <v/>
      </c>
      <c r="K100" s="22" t="str">
        <f t="shared" si="28"/>
        <v/>
      </c>
      <c r="L100" s="22" t="str">
        <f t="shared" si="28"/>
        <v/>
      </c>
    </row>
    <row r="101" spans="2:12" hidden="1" x14ac:dyDescent="0.2"/>
    <row r="102" spans="2:12" hidden="1" x14ac:dyDescent="0.2"/>
    <row r="103" spans="2:12" hidden="1" x14ac:dyDescent="0.2"/>
    <row r="104" spans="2:12" ht="13.5" hidden="1" thickBot="1" x14ac:dyDescent="0.25"/>
    <row r="105" spans="2:12" hidden="1" x14ac:dyDescent="0.2">
      <c r="B105" s="16" t="s">
        <v>215</v>
      </c>
      <c r="C105" s="21">
        <f>C3</f>
        <v>0</v>
      </c>
      <c r="D105" s="21">
        <f t="shared" ref="D105:L105" si="29">D3</f>
        <v>0</v>
      </c>
      <c r="E105" s="21">
        <f t="shared" si="29"/>
        <v>0</v>
      </c>
      <c r="F105" s="21">
        <f t="shared" si="29"/>
        <v>0</v>
      </c>
      <c r="G105" s="21">
        <f t="shared" si="29"/>
        <v>0</v>
      </c>
      <c r="H105" s="21">
        <f t="shared" si="29"/>
        <v>0</v>
      </c>
      <c r="I105" s="21">
        <f t="shared" si="29"/>
        <v>0</v>
      </c>
      <c r="J105" s="21">
        <f t="shared" si="29"/>
        <v>0</v>
      </c>
      <c r="K105" s="21">
        <f t="shared" si="29"/>
        <v>0</v>
      </c>
      <c r="L105" s="21">
        <f t="shared" si="29"/>
        <v>0</v>
      </c>
    </row>
    <row r="106" spans="2:12" hidden="1" x14ac:dyDescent="0.2">
      <c r="B106" s="29" t="str">
        <f>B4</f>
        <v/>
      </c>
      <c r="C106" s="22" t="str">
        <f>IF(C$73=3,C4,"")</f>
        <v/>
      </c>
      <c r="D106" s="22" t="str">
        <f t="shared" ref="D106:L106" si="30">IF(D$73=3,D4,"")</f>
        <v/>
      </c>
      <c r="E106" s="22" t="str">
        <f t="shared" si="30"/>
        <v/>
      </c>
      <c r="F106" s="22" t="str">
        <f t="shared" si="30"/>
        <v/>
      </c>
      <c r="G106" s="22" t="str">
        <f t="shared" si="30"/>
        <v/>
      </c>
      <c r="H106" s="22" t="str">
        <f t="shared" si="30"/>
        <v/>
      </c>
      <c r="I106" s="22" t="str">
        <f t="shared" si="30"/>
        <v/>
      </c>
      <c r="J106" s="22" t="str">
        <f t="shared" si="30"/>
        <v/>
      </c>
      <c r="K106" s="22" t="str">
        <f t="shared" si="30"/>
        <v/>
      </c>
      <c r="L106" s="22" t="str">
        <f t="shared" si="30"/>
        <v/>
      </c>
    </row>
    <row r="107" spans="2:12" hidden="1" x14ac:dyDescent="0.2">
      <c r="B107" s="29" t="str">
        <f t="shared" ref="B107:B125" si="31">B5</f>
        <v/>
      </c>
      <c r="C107" s="22" t="str">
        <f t="shared" ref="C107:L122" si="32">IF(C$73=3,C5,"")</f>
        <v/>
      </c>
      <c r="D107" s="22" t="str">
        <f t="shared" si="32"/>
        <v/>
      </c>
      <c r="E107" s="22" t="str">
        <f t="shared" si="32"/>
        <v/>
      </c>
      <c r="F107" s="22" t="str">
        <f t="shared" si="32"/>
        <v/>
      </c>
      <c r="G107" s="22" t="str">
        <f t="shared" si="32"/>
        <v/>
      </c>
      <c r="H107" s="22" t="str">
        <f t="shared" si="32"/>
        <v/>
      </c>
      <c r="I107" s="22" t="str">
        <f t="shared" si="32"/>
        <v/>
      </c>
      <c r="J107" s="22" t="str">
        <f t="shared" si="32"/>
        <v/>
      </c>
      <c r="K107" s="22" t="str">
        <f t="shared" si="32"/>
        <v/>
      </c>
      <c r="L107" s="22" t="str">
        <f t="shared" si="32"/>
        <v/>
      </c>
    </row>
    <row r="108" spans="2:12" hidden="1" x14ac:dyDescent="0.2">
      <c r="B108" s="29" t="str">
        <f t="shared" si="31"/>
        <v/>
      </c>
      <c r="C108" s="22" t="str">
        <f t="shared" si="32"/>
        <v/>
      </c>
      <c r="D108" s="22" t="str">
        <f t="shared" si="32"/>
        <v/>
      </c>
      <c r="E108" s="22" t="str">
        <f t="shared" si="32"/>
        <v/>
      </c>
      <c r="F108" s="22" t="str">
        <f t="shared" si="32"/>
        <v/>
      </c>
      <c r="G108" s="22" t="str">
        <f t="shared" si="32"/>
        <v/>
      </c>
      <c r="H108" s="22" t="str">
        <f t="shared" si="32"/>
        <v/>
      </c>
      <c r="I108" s="22" t="str">
        <f t="shared" si="32"/>
        <v/>
      </c>
      <c r="J108" s="22" t="str">
        <f t="shared" si="32"/>
        <v/>
      </c>
      <c r="K108" s="22" t="str">
        <f t="shared" si="32"/>
        <v/>
      </c>
      <c r="L108" s="22" t="str">
        <f t="shared" si="32"/>
        <v/>
      </c>
    </row>
    <row r="109" spans="2:12" hidden="1" x14ac:dyDescent="0.2">
      <c r="B109" s="29" t="str">
        <f t="shared" si="31"/>
        <v/>
      </c>
      <c r="C109" s="22" t="str">
        <f t="shared" si="32"/>
        <v/>
      </c>
      <c r="D109" s="22" t="str">
        <f t="shared" si="32"/>
        <v/>
      </c>
      <c r="E109" s="22" t="str">
        <f t="shared" si="32"/>
        <v/>
      </c>
      <c r="F109" s="22" t="str">
        <f t="shared" si="32"/>
        <v/>
      </c>
      <c r="G109" s="22" t="str">
        <f t="shared" si="32"/>
        <v/>
      </c>
      <c r="H109" s="22" t="str">
        <f t="shared" si="32"/>
        <v/>
      </c>
      <c r="I109" s="22" t="str">
        <f t="shared" si="32"/>
        <v/>
      </c>
      <c r="J109" s="22" t="str">
        <f t="shared" si="32"/>
        <v/>
      </c>
      <c r="K109" s="22" t="str">
        <f t="shared" si="32"/>
        <v/>
      </c>
      <c r="L109" s="22" t="str">
        <f t="shared" si="32"/>
        <v/>
      </c>
    </row>
    <row r="110" spans="2:12" hidden="1" x14ac:dyDescent="0.2">
      <c r="B110" s="29" t="str">
        <f t="shared" si="31"/>
        <v/>
      </c>
      <c r="C110" s="22" t="str">
        <f t="shared" si="32"/>
        <v/>
      </c>
      <c r="D110" s="22" t="str">
        <f t="shared" si="32"/>
        <v/>
      </c>
      <c r="E110" s="22" t="str">
        <f t="shared" si="32"/>
        <v/>
      </c>
      <c r="F110" s="22" t="str">
        <f t="shared" si="32"/>
        <v/>
      </c>
      <c r="G110" s="22" t="str">
        <f t="shared" si="32"/>
        <v/>
      </c>
      <c r="H110" s="22" t="str">
        <f t="shared" si="32"/>
        <v/>
      </c>
      <c r="I110" s="22" t="str">
        <f t="shared" si="32"/>
        <v/>
      </c>
      <c r="J110" s="22" t="str">
        <f t="shared" si="32"/>
        <v/>
      </c>
      <c r="K110" s="22" t="str">
        <f t="shared" si="32"/>
        <v/>
      </c>
      <c r="L110" s="22" t="str">
        <f t="shared" si="32"/>
        <v/>
      </c>
    </row>
    <row r="111" spans="2:12" hidden="1" x14ac:dyDescent="0.2">
      <c r="B111" s="29" t="str">
        <f t="shared" si="31"/>
        <v/>
      </c>
      <c r="C111" s="22" t="str">
        <f t="shared" si="32"/>
        <v/>
      </c>
      <c r="D111" s="22" t="str">
        <f t="shared" si="32"/>
        <v/>
      </c>
      <c r="E111" s="22" t="str">
        <f t="shared" si="32"/>
        <v/>
      </c>
      <c r="F111" s="22" t="str">
        <f t="shared" si="32"/>
        <v/>
      </c>
      <c r="G111" s="22" t="str">
        <f t="shared" si="32"/>
        <v/>
      </c>
      <c r="H111" s="22" t="str">
        <f t="shared" si="32"/>
        <v/>
      </c>
      <c r="I111" s="22" t="str">
        <f t="shared" si="32"/>
        <v/>
      </c>
      <c r="J111" s="22" t="str">
        <f t="shared" si="32"/>
        <v/>
      </c>
      <c r="K111" s="22" t="str">
        <f t="shared" si="32"/>
        <v/>
      </c>
      <c r="L111" s="22" t="str">
        <f t="shared" si="32"/>
        <v/>
      </c>
    </row>
    <row r="112" spans="2:12" hidden="1" x14ac:dyDescent="0.2">
      <c r="B112" s="29" t="str">
        <f t="shared" si="31"/>
        <v/>
      </c>
      <c r="C112" s="22" t="str">
        <f t="shared" si="32"/>
        <v/>
      </c>
      <c r="D112" s="22" t="str">
        <f t="shared" si="32"/>
        <v/>
      </c>
      <c r="E112" s="22" t="str">
        <f t="shared" si="32"/>
        <v/>
      </c>
      <c r="F112" s="22" t="str">
        <f t="shared" si="32"/>
        <v/>
      </c>
      <c r="G112" s="22" t="str">
        <f t="shared" si="32"/>
        <v/>
      </c>
      <c r="H112" s="22" t="str">
        <f t="shared" si="32"/>
        <v/>
      </c>
      <c r="I112" s="22" t="str">
        <f t="shared" si="32"/>
        <v/>
      </c>
      <c r="J112" s="22" t="str">
        <f t="shared" si="32"/>
        <v/>
      </c>
      <c r="K112" s="22" t="str">
        <f t="shared" si="32"/>
        <v/>
      </c>
      <c r="L112" s="22" t="str">
        <f t="shared" si="32"/>
        <v/>
      </c>
    </row>
    <row r="113" spans="2:12" hidden="1" x14ac:dyDescent="0.2">
      <c r="B113" s="29" t="str">
        <f t="shared" si="31"/>
        <v/>
      </c>
      <c r="C113" s="22" t="str">
        <f t="shared" si="32"/>
        <v/>
      </c>
      <c r="D113" s="22" t="str">
        <f t="shared" si="32"/>
        <v/>
      </c>
      <c r="E113" s="22" t="str">
        <f t="shared" si="32"/>
        <v/>
      </c>
      <c r="F113" s="22" t="str">
        <f t="shared" si="32"/>
        <v/>
      </c>
      <c r="G113" s="22" t="str">
        <f t="shared" si="32"/>
        <v/>
      </c>
      <c r="H113" s="22" t="str">
        <f t="shared" si="32"/>
        <v/>
      </c>
      <c r="I113" s="22" t="str">
        <f t="shared" si="32"/>
        <v/>
      </c>
      <c r="J113" s="22" t="str">
        <f t="shared" si="32"/>
        <v/>
      </c>
      <c r="K113" s="22" t="str">
        <f t="shared" si="32"/>
        <v/>
      </c>
      <c r="L113" s="22" t="str">
        <f t="shared" si="32"/>
        <v/>
      </c>
    </row>
    <row r="114" spans="2:12" hidden="1" x14ac:dyDescent="0.2">
      <c r="B114" s="29" t="str">
        <f t="shared" si="31"/>
        <v/>
      </c>
      <c r="C114" s="22" t="str">
        <f t="shared" si="32"/>
        <v/>
      </c>
      <c r="D114" s="22" t="str">
        <f t="shared" si="32"/>
        <v/>
      </c>
      <c r="E114" s="22" t="str">
        <f t="shared" si="32"/>
        <v/>
      </c>
      <c r="F114" s="22" t="str">
        <f t="shared" si="32"/>
        <v/>
      </c>
      <c r="G114" s="22" t="str">
        <f t="shared" si="32"/>
        <v/>
      </c>
      <c r="H114" s="22" t="str">
        <f t="shared" si="32"/>
        <v/>
      </c>
      <c r="I114" s="22" t="str">
        <f t="shared" si="32"/>
        <v/>
      </c>
      <c r="J114" s="22" t="str">
        <f t="shared" si="32"/>
        <v/>
      </c>
      <c r="K114" s="22" t="str">
        <f t="shared" si="32"/>
        <v/>
      </c>
      <c r="L114" s="22" t="str">
        <f t="shared" si="32"/>
        <v/>
      </c>
    </row>
    <row r="115" spans="2:12" hidden="1" x14ac:dyDescent="0.2">
      <c r="B115" s="29" t="str">
        <f t="shared" si="31"/>
        <v/>
      </c>
      <c r="C115" s="22" t="str">
        <f t="shared" si="32"/>
        <v/>
      </c>
      <c r="D115" s="22" t="str">
        <f t="shared" si="32"/>
        <v/>
      </c>
      <c r="E115" s="22" t="str">
        <f t="shared" si="32"/>
        <v/>
      </c>
      <c r="F115" s="22" t="str">
        <f t="shared" si="32"/>
        <v/>
      </c>
      <c r="G115" s="22" t="str">
        <f t="shared" si="32"/>
        <v/>
      </c>
      <c r="H115" s="22" t="str">
        <f t="shared" si="32"/>
        <v/>
      </c>
      <c r="I115" s="22" t="str">
        <f t="shared" si="32"/>
        <v/>
      </c>
      <c r="J115" s="22" t="str">
        <f t="shared" si="32"/>
        <v/>
      </c>
      <c r="K115" s="22" t="str">
        <f t="shared" si="32"/>
        <v/>
      </c>
      <c r="L115" s="22" t="str">
        <f t="shared" si="32"/>
        <v/>
      </c>
    </row>
    <row r="116" spans="2:12" hidden="1" x14ac:dyDescent="0.2">
      <c r="B116" s="29" t="str">
        <f t="shared" si="31"/>
        <v/>
      </c>
      <c r="C116" s="22" t="str">
        <f t="shared" si="32"/>
        <v/>
      </c>
      <c r="D116" s="22" t="str">
        <f t="shared" si="32"/>
        <v/>
      </c>
      <c r="E116" s="22" t="str">
        <f t="shared" si="32"/>
        <v/>
      </c>
      <c r="F116" s="22" t="str">
        <f t="shared" si="32"/>
        <v/>
      </c>
      <c r="G116" s="22" t="str">
        <f t="shared" si="32"/>
        <v/>
      </c>
      <c r="H116" s="22" t="str">
        <f t="shared" si="32"/>
        <v/>
      </c>
      <c r="I116" s="22" t="str">
        <f t="shared" si="32"/>
        <v/>
      </c>
      <c r="J116" s="22" t="str">
        <f t="shared" si="32"/>
        <v/>
      </c>
      <c r="K116" s="22" t="str">
        <f t="shared" si="32"/>
        <v/>
      </c>
      <c r="L116" s="22" t="str">
        <f t="shared" si="32"/>
        <v/>
      </c>
    </row>
    <row r="117" spans="2:12" hidden="1" x14ac:dyDescent="0.2">
      <c r="B117" s="29" t="str">
        <f t="shared" si="31"/>
        <v/>
      </c>
      <c r="C117" s="22" t="str">
        <f t="shared" si="32"/>
        <v/>
      </c>
      <c r="D117" s="22" t="str">
        <f t="shared" si="32"/>
        <v/>
      </c>
      <c r="E117" s="22" t="str">
        <f t="shared" si="32"/>
        <v/>
      </c>
      <c r="F117" s="22" t="str">
        <f t="shared" si="32"/>
        <v/>
      </c>
      <c r="G117" s="22" t="str">
        <f t="shared" si="32"/>
        <v/>
      </c>
      <c r="H117" s="22" t="str">
        <f t="shared" si="32"/>
        <v/>
      </c>
      <c r="I117" s="22" t="str">
        <f t="shared" si="32"/>
        <v/>
      </c>
      <c r="J117" s="22" t="str">
        <f t="shared" si="32"/>
        <v/>
      </c>
      <c r="K117" s="22" t="str">
        <f t="shared" si="32"/>
        <v/>
      </c>
      <c r="L117" s="22" t="str">
        <f t="shared" si="32"/>
        <v/>
      </c>
    </row>
    <row r="118" spans="2:12" hidden="1" x14ac:dyDescent="0.2">
      <c r="B118" s="29" t="str">
        <f t="shared" si="31"/>
        <v/>
      </c>
      <c r="C118" s="22" t="str">
        <f t="shared" si="32"/>
        <v/>
      </c>
      <c r="D118" s="22" t="str">
        <f t="shared" si="32"/>
        <v/>
      </c>
      <c r="E118" s="22" t="str">
        <f t="shared" si="32"/>
        <v/>
      </c>
      <c r="F118" s="22" t="str">
        <f t="shared" si="32"/>
        <v/>
      </c>
      <c r="G118" s="22" t="str">
        <f t="shared" si="32"/>
        <v/>
      </c>
      <c r="H118" s="22" t="str">
        <f t="shared" si="32"/>
        <v/>
      </c>
      <c r="I118" s="22" t="str">
        <f t="shared" si="32"/>
        <v/>
      </c>
      <c r="J118" s="22" t="str">
        <f t="shared" si="32"/>
        <v/>
      </c>
      <c r="K118" s="22" t="str">
        <f t="shared" si="32"/>
        <v/>
      </c>
      <c r="L118" s="22" t="str">
        <f t="shared" si="32"/>
        <v/>
      </c>
    </row>
    <row r="119" spans="2:12" hidden="1" x14ac:dyDescent="0.2">
      <c r="B119" s="29" t="str">
        <f t="shared" si="31"/>
        <v/>
      </c>
      <c r="C119" s="22" t="str">
        <f t="shared" si="32"/>
        <v/>
      </c>
      <c r="D119" s="22" t="str">
        <f t="shared" si="32"/>
        <v/>
      </c>
      <c r="E119" s="22" t="str">
        <f t="shared" si="32"/>
        <v/>
      </c>
      <c r="F119" s="22" t="str">
        <f t="shared" si="32"/>
        <v/>
      </c>
      <c r="G119" s="22" t="str">
        <f t="shared" si="32"/>
        <v/>
      </c>
      <c r="H119" s="22" t="str">
        <f t="shared" si="32"/>
        <v/>
      </c>
      <c r="I119" s="22" t="str">
        <f t="shared" si="32"/>
        <v/>
      </c>
      <c r="J119" s="22" t="str">
        <f t="shared" si="32"/>
        <v/>
      </c>
      <c r="K119" s="22" t="str">
        <f t="shared" si="32"/>
        <v/>
      </c>
      <c r="L119" s="22" t="str">
        <f t="shared" si="32"/>
        <v/>
      </c>
    </row>
    <row r="120" spans="2:12" hidden="1" x14ac:dyDescent="0.2">
      <c r="B120" s="29" t="str">
        <f t="shared" si="31"/>
        <v/>
      </c>
      <c r="C120" s="22" t="str">
        <f t="shared" si="32"/>
        <v/>
      </c>
      <c r="D120" s="22" t="str">
        <f t="shared" si="32"/>
        <v/>
      </c>
      <c r="E120" s="22" t="str">
        <f t="shared" si="32"/>
        <v/>
      </c>
      <c r="F120" s="22" t="str">
        <f t="shared" si="32"/>
        <v/>
      </c>
      <c r="G120" s="22" t="str">
        <f t="shared" si="32"/>
        <v/>
      </c>
      <c r="H120" s="22" t="str">
        <f t="shared" si="32"/>
        <v/>
      </c>
      <c r="I120" s="22" t="str">
        <f t="shared" si="32"/>
        <v/>
      </c>
      <c r="J120" s="22" t="str">
        <f t="shared" si="32"/>
        <v/>
      </c>
      <c r="K120" s="22" t="str">
        <f t="shared" si="32"/>
        <v/>
      </c>
      <c r="L120" s="22" t="str">
        <f t="shared" si="32"/>
        <v/>
      </c>
    </row>
    <row r="121" spans="2:12" hidden="1" x14ac:dyDescent="0.2">
      <c r="B121" s="29" t="str">
        <f t="shared" si="31"/>
        <v/>
      </c>
      <c r="C121" s="22" t="str">
        <f t="shared" si="32"/>
        <v/>
      </c>
      <c r="D121" s="22" t="str">
        <f t="shared" si="32"/>
        <v/>
      </c>
      <c r="E121" s="22" t="str">
        <f t="shared" si="32"/>
        <v/>
      </c>
      <c r="F121" s="22" t="str">
        <f t="shared" si="32"/>
        <v/>
      </c>
      <c r="G121" s="22" t="str">
        <f t="shared" si="32"/>
        <v/>
      </c>
      <c r="H121" s="22" t="str">
        <f t="shared" si="32"/>
        <v/>
      </c>
      <c r="I121" s="22" t="str">
        <f t="shared" si="32"/>
        <v/>
      </c>
      <c r="J121" s="22" t="str">
        <f t="shared" si="32"/>
        <v/>
      </c>
      <c r="K121" s="22" t="str">
        <f t="shared" si="32"/>
        <v/>
      </c>
      <c r="L121" s="22" t="str">
        <f t="shared" si="32"/>
        <v/>
      </c>
    </row>
    <row r="122" spans="2:12" hidden="1" x14ac:dyDescent="0.2">
      <c r="B122" s="29" t="str">
        <f t="shared" si="31"/>
        <v/>
      </c>
      <c r="C122" s="22" t="str">
        <f t="shared" si="32"/>
        <v/>
      </c>
      <c r="D122" s="22" t="str">
        <f t="shared" si="32"/>
        <v/>
      </c>
      <c r="E122" s="22" t="str">
        <f t="shared" si="32"/>
        <v/>
      </c>
      <c r="F122" s="22" t="str">
        <f t="shared" si="32"/>
        <v/>
      </c>
      <c r="G122" s="22" t="str">
        <f t="shared" si="32"/>
        <v/>
      </c>
      <c r="H122" s="22" t="str">
        <f t="shared" si="32"/>
        <v/>
      </c>
      <c r="I122" s="22" t="str">
        <f t="shared" si="32"/>
        <v/>
      </c>
      <c r="J122" s="22" t="str">
        <f t="shared" si="32"/>
        <v/>
      </c>
      <c r="K122" s="22" t="str">
        <f t="shared" si="32"/>
        <v/>
      </c>
      <c r="L122" s="22" t="str">
        <f t="shared" si="32"/>
        <v/>
      </c>
    </row>
    <row r="123" spans="2:12" hidden="1" x14ac:dyDescent="0.2">
      <c r="B123" s="29" t="str">
        <f t="shared" si="31"/>
        <v/>
      </c>
      <c r="C123" s="22" t="str">
        <f t="shared" ref="C123:L125" si="33">IF(C$73=3,C21,"")</f>
        <v/>
      </c>
      <c r="D123" s="22" t="str">
        <f t="shared" si="33"/>
        <v/>
      </c>
      <c r="E123" s="22" t="str">
        <f t="shared" si="33"/>
        <v/>
      </c>
      <c r="F123" s="22" t="str">
        <f t="shared" si="33"/>
        <v/>
      </c>
      <c r="G123" s="22" t="str">
        <f t="shared" si="33"/>
        <v/>
      </c>
      <c r="H123" s="22" t="str">
        <f t="shared" si="33"/>
        <v/>
      </c>
      <c r="I123" s="22" t="str">
        <f t="shared" si="33"/>
        <v/>
      </c>
      <c r="J123" s="22" t="str">
        <f t="shared" si="33"/>
        <v/>
      </c>
      <c r="K123" s="22" t="str">
        <f t="shared" si="33"/>
        <v/>
      </c>
      <c r="L123" s="22" t="str">
        <f t="shared" si="33"/>
        <v/>
      </c>
    </row>
    <row r="124" spans="2:12" hidden="1" x14ac:dyDescent="0.2">
      <c r="B124" s="29" t="str">
        <f t="shared" si="31"/>
        <v/>
      </c>
      <c r="C124" s="22" t="str">
        <f t="shared" si="33"/>
        <v/>
      </c>
      <c r="D124" s="22" t="str">
        <f t="shared" si="33"/>
        <v/>
      </c>
      <c r="E124" s="22" t="str">
        <f t="shared" si="33"/>
        <v/>
      </c>
      <c r="F124" s="22" t="str">
        <f t="shared" si="33"/>
        <v/>
      </c>
      <c r="G124" s="22" t="str">
        <f t="shared" si="33"/>
        <v/>
      </c>
      <c r="H124" s="22" t="str">
        <f t="shared" si="33"/>
        <v/>
      </c>
      <c r="I124" s="22" t="str">
        <f t="shared" si="33"/>
        <v/>
      </c>
      <c r="J124" s="22" t="str">
        <f t="shared" si="33"/>
        <v/>
      </c>
      <c r="K124" s="22" t="str">
        <f t="shared" si="33"/>
        <v/>
      </c>
      <c r="L124" s="22" t="str">
        <f t="shared" si="33"/>
        <v/>
      </c>
    </row>
    <row r="125" spans="2:12" hidden="1" x14ac:dyDescent="0.2">
      <c r="B125" s="29" t="str">
        <f t="shared" si="31"/>
        <v/>
      </c>
      <c r="C125" s="22" t="str">
        <f t="shared" si="33"/>
        <v/>
      </c>
      <c r="D125" s="22" t="str">
        <f t="shared" si="33"/>
        <v/>
      </c>
      <c r="E125" s="22" t="str">
        <f t="shared" si="33"/>
        <v/>
      </c>
      <c r="F125" s="22" t="str">
        <f t="shared" si="33"/>
        <v/>
      </c>
      <c r="G125" s="22" t="str">
        <f t="shared" si="33"/>
        <v/>
      </c>
      <c r="H125" s="22" t="str">
        <f t="shared" si="33"/>
        <v/>
      </c>
      <c r="I125" s="22" t="str">
        <f t="shared" si="33"/>
        <v/>
      </c>
      <c r="J125" s="22" t="str">
        <f t="shared" si="33"/>
        <v/>
      </c>
      <c r="K125" s="22" t="str">
        <f t="shared" si="33"/>
        <v/>
      </c>
      <c r="L125" s="22" t="str">
        <f t="shared" si="33"/>
        <v/>
      </c>
    </row>
    <row r="126" spans="2:12" hidden="1" x14ac:dyDescent="0.2"/>
    <row r="127" spans="2:12" hidden="1" x14ac:dyDescent="0.2"/>
    <row r="128" spans="2:12" hidden="1" x14ac:dyDescent="0.2"/>
    <row r="129" spans="2:12" ht="13.5" hidden="1" thickBot="1" x14ac:dyDescent="0.25"/>
    <row r="130" spans="2:12" hidden="1" x14ac:dyDescent="0.2">
      <c r="B130" s="16" t="s">
        <v>218</v>
      </c>
      <c r="C130" s="21">
        <f>C3</f>
        <v>0</v>
      </c>
      <c r="D130" s="21">
        <f t="shared" ref="D130:L130" si="34">D3</f>
        <v>0</v>
      </c>
      <c r="E130" s="21">
        <f t="shared" si="34"/>
        <v>0</v>
      </c>
      <c r="F130" s="21">
        <f t="shared" si="34"/>
        <v>0</v>
      </c>
      <c r="G130" s="21">
        <f t="shared" si="34"/>
        <v>0</v>
      </c>
      <c r="H130" s="21">
        <f t="shared" si="34"/>
        <v>0</v>
      </c>
      <c r="I130" s="21">
        <f t="shared" si="34"/>
        <v>0</v>
      </c>
      <c r="J130" s="21">
        <f t="shared" si="34"/>
        <v>0</v>
      </c>
      <c r="K130" s="21">
        <f t="shared" si="34"/>
        <v>0</v>
      </c>
      <c r="L130" s="21">
        <f t="shared" si="34"/>
        <v>0</v>
      </c>
    </row>
    <row r="131" spans="2:12" hidden="1" x14ac:dyDescent="0.2">
      <c r="B131" s="29" t="str">
        <f>B4</f>
        <v/>
      </c>
      <c r="C131" s="22" t="str">
        <f>IF(C$73=4,C4,"")</f>
        <v/>
      </c>
      <c r="D131" s="22" t="str">
        <f t="shared" ref="D131:L131" si="35">IF(D$73=4,D4,"")</f>
        <v/>
      </c>
      <c r="E131" s="22" t="str">
        <f t="shared" si="35"/>
        <v/>
      </c>
      <c r="F131" s="22" t="str">
        <f t="shared" si="35"/>
        <v/>
      </c>
      <c r="G131" s="22" t="str">
        <f t="shared" si="35"/>
        <v/>
      </c>
      <c r="H131" s="22" t="str">
        <f t="shared" si="35"/>
        <v/>
      </c>
      <c r="I131" s="22" t="str">
        <f t="shared" si="35"/>
        <v/>
      </c>
      <c r="J131" s="22" t="str">
        <f t="shared" si="35"/>
        <v/>
      </c>
      <c r="K131" s="22" t="str">
        <f t="shared" si="35"/>
        <v/>
      </c>
      <c r="L131" s="22" t="str">
        <f t="shared" si="35"/>
        <v/>
      </c>
    </row>
    <row r="132" spans="2:12" hidden="1" x14ac:dyDescent="0.2">
      <c r="B132" s="29" t="str">
        <f t="shared" ref="B132:B150" si="36">B5</f>
        <v/>
      </c>
      <c r="C132" s="22" t="str">
        <f t="shared" ref="C132:L147" si="37">IF(C$73=4,C5,"")</f>
        <v/>
      </c>
      <c r="D132" s="22" t="str">
        <f t="shared" si="37"/>
        <v/>
      </c>
      <c r="E132" s="22" t="str">
        <f t="shared" si="37"/>
        <v/>
      </c>
      <c r="F132" s="22" t="str">
        <f t="shared" si="37"/>
        <v/>
      </c>
      <c r="G132" s="22" t="str">
        <f t="shared" si="37"/>
        <v/>
      </c>
      <c r="H132" s="22" t="str">
        <f t="shared" si="37"/>
        <v/>
      </c>
      <c r="I132" s="22" t="str">
        <f t="shared" si="37"/>
        <v/>
      </c>
      <c r="J132" s="22" t="str">
        <f t="shared" si="37"/>
        <v/>
      </c>
      <c r="K132" s="22" t="str">
        <f t="shared" si="37"/>
        <v/>
      </c>
      <c r="L132" s="22" t="str">
        <f t="shared" si="37"/>
        <v/>
      </c>
    </row>
    <row r="133" spans="2:12" hidden="1" x14ac:dyDescent="0.2">
      <c r="B133" s="29" t="str">
        <f t="shared" si="36"/>
        <v/>
      </c>
      <c r="C133" s="22" t="str">
        <f t="shared" si="37"/>
        <v/>
      </c>
      <c r="D133" s="22" t="str">
        <f t="shared" si="37"/>
        <v/>
      </c>
      <c r="E133" s="22" t="str">
        <f t="shared" si="37"/>
        <v/>
      </c>
      <c r="F133" s="22" t="str">
        <f t="shared" si="37"/>
        <v/>
      </c>
      <c r="G133" s="22" t="str">
        <f t="shared" si="37"/>
        <v/>
      </c>
      <c r="H133" s="22" t="str">
        <f t="shared" si="37"/>
        <v/>
      </c>
      <c r="I133" s="22" t="str">
        <f t="shared" si="37"/>
        <v/>
      </c>
      <c r="J133" s="22" t="str">
        <f t="shared" si="37"/>
        <v/>
      </c>
      <c r="K133" s="22" t="str">
        <f t="shared" si="37"/>
        <v/>
      </c>
      <c r="L133" s="22" t="str">
        <f t="shared" si="37"/>
        <v/>
      </c>
    </row>
    <row r="134" spans="2:12" hidden="1" x14ac:dyDescent="0.2">
      <c r="B134" s="29" t="str">
        <f t="shared" si="36"/>
        <v/>
      </c>
      <c r="C134" s="22" t="str">
        <f t="shared" si="37"/>
        <v/>
      </c>
      <c r="D134" s="22" t="str">
        <f t="shared" si="37"/>
        <v/>
      </c>
      <c r="E134" s="22" t="str">
        <f t="shared" si="37"/>
        <v/>
      </c>
      <c r="F134" s="22" t="str">
        <f t="shared" si="37"/>
        <v/>
      </c>
      <c r="G134" s="22" t="str">
        <f t="shared" si="37"/>
        <v/>
      </c>
      <c r="H134" s="22" t="str">
        <f t="shared" si="37"/>
        <v/>
      </c>
      <c r="I134" s="22" t="str">
        <f t="shared" si="37"/>
        <v/>
      </c>
      <c r="J134" s="22" t="str">
        <f t="shared" si="37"/>
        <v/>
      </c>
      <c r="K134" s="22" t="str">
        <f t="shared" si="37"/>
        <v/>
      </c>
      <c r="L134" s="22" t="str">
        <f t="shared" si="37"/>
        <v/>
      </c>
    </row>
    <row r="135" spans="2:12" hidden="1" x14ac:dyDescent="0.2">
      <c r="B135" s="29" t="str">
        <f t="shared" si="36"/>
        <v/>
      </c>
      <c r="C135" s="22" t="str">
        <f t="shared" si="37"/>
        <v/>
      </c>
      <c r="D135" s="22" t="str">
        <f t="shared" si="37"/>
        <v/>
      </c>
      <c r="E135" s="22" t="str">
        <f t="shared" si="37"/>
        <v/>
      </c>
      <c r="F135" s="22" t="str">
        <f t="shared" si="37"/>
        <v/>
      </c>
      <c r="G135" s="22" t="str">
        <f t="shared" si="37"/>
        <v/>
      </c>
      <c r="H135" s="22" t="str">
        <f t="shared" si="37"/>
        <v/>
      </c>
      <c r="I135" s="22" t="str">
        <f t="shared" si="37"/>
        <v/>
      </c>
      <c r="J135" s="22" t="str">
        <f t="shared" si="37"/>
        <v/>
      </c>
      <c r="K135" s="22" t="str">
        <f t="shared" si="37"/>
        <v/>
      </c>
      <c r="L135" s="22" t="str">
        <f t="shared" si="37"/>
        <v/>
      </c>
    </row>
    <row r="136" spans="2:12" hidden="1" x14ac:dyDescent="0.2">
      <c r="B136" s="29" t="str">
        <f t="shared" si="36"/>
        <v/>
      </c>
      <c r="C136" s="22" t="str">
        <f t="shared" si="37"/>
        <v/>
      </c>
      <c r="D136" s="22" t="str">
        <f t="shared" si="37"/>
        <v/>
      </c>
      <c r="E136" s="22" t="str">
        <f t="shared" si="37"/>
        <v/>
      </c>
      <c r="F136" s="22" t="str">
        <f t="shared" si="37"/>
        <v/>
      </c>
      <c r="G136" s="22" t="str">
        <f t="shared" si="37"/>
        <v/>
      </c>
      <c r="H136" s="22" t="str">
        <f t="shared" si="37"/>
        <v/>
      </c>
      <c r="I136" s="22" t="str">
        <f t="shared" si="37"/>
        <v/>
      </c>
      <c r="J136" s="22" t="str">
        <f t="shared" si="37"/>
        <v/>
      </c>
      <c r="K136" s="22" t="str">
        <f t="shared" si="37"/>
        <v/>
      </c>
      <c r="L136" s="22" t="str">
        <f t="shared" si="37"/>
        <v/>
      </c>
    </row>
    <row r="137" spans="2:12" hidden="1" x14ac:dyDescent="0.2">
      <c r="B137" s="29" t="str">
        <f t="shared" si="36"/>
        <v/>
      </c>
      <c r="C137" s="22" t="str">
        <f t="shared" si="37"/>
        <v/>
      </c>
      <c r="D137" s="22" t="str">
        <f t="shared" si="37"/>
        <v/>
      </c>
      <c r="E137" s="22" t="str">
        <f t="shared" si="37"/>
        <v/>
      </c>
      <c r="F137" s="22" t="str">
        <f t="shared" si="37"/>
        <v/>
      </c>
      <c r="G137" s="22" t="str">
        <f t="shared" si="37"/>
        <v/>
      </c>
      <c r="H137" s="22" t="str">
        <f t="shared" si="37"/>
        <v/>
      </c>
      <c r="I137" s="22" t="str">
        <f t="shared" si="37"/>
        <v/>
      </c>
      <c r="J137" s="22" t="str">
        <f t="shared" si="37"/>
        <v/>
      </c>
      <c r="K137" s="22" t="str">
        <f t="shared" si="37"/>
        <v/>
      </c>
      <c r="L137" s="22" t="str">
        <f t="shared" si="37"/>
        <v/>
      </c>
    </row>
    <row r="138" spans="2:12" hidden="1" x14ac:dyDescent="0.2">
      <c r="B138" s="29" t="str">
        <f t="shared" si="36"/>
        <v/>
      </c>
      <c r="C138" s="22" t="str">
        <f t="shared" si="37"/>
        <v/>
      </c>
      <c r="D138" s="22" t="str">
        <f t="shared" si="37"/>
        <v/>
      </c>
      <c r="E138" s="22" t="str">
        <f t="shared" si="37"/>
        <v/>
      </c>
      <c r="F138" s="22" t="str">
        <f t="shared" si="37"/>
        <v/>
      </c>
      <c r="G138" s="22" t="str">
        <f t="shared" si="37"/>
        <v/>
      </c>
      <c r="H138" s="22" t="str">
        <f t="shared" si="37"/>
        <v/>
      </c>
      <c r="I138" s="22" t="str">
        <f t="shared" si="37"/>
        <v/>
      </c>
      <c r="J138" s="22" t="str">
        <f t="shared" si="37"/>
        <v/>
      </c>
      <c r="K138" s="22" t="str">
        <f t="shared" si="37"/>
        <v/>
      </c>
      <c r="L138" s="22" t="str">
        <f t="shared" si="37"/>
        <v/>
      </c>
    </row>
    <row r="139" spans="2:12" hidden="1" x14ac:dyDescent="0.2">
      <c r="B139" s="29" t="str">
        <f t="shared" si="36"/>
        <v/>
      </c>
      <c r="C139" s="22" t="str">
        <f t="shared" si="37"/>
        <v/>
      </c>
      <c r="D139" s="22" t="str">
        <f t="shared" si="37"/>
        <v/>
      </c>
      <c r="E139" s="22" t="str">
        <f t="shared" si="37"/>
        <v/>
      </c>
      <c r="F139" s="22" t="str">
        <f t="shared" si="37"/>
        <v/>
      </c>
      <c r="G139" s="22" t="str">
        <f t="shared" si="37"/>
        <v/>
      </c>
      <c r="H139" s="22" t="str">
        <f t="shared" si="37"/>
        <v/>
      </c>
      <c r="I139" s="22" t="str">
        <f t="shared" si="37"/>
        <v/>
      </c>
      <c r="J139" s="22" t="str">
        <f t="shared" si="37"/>
        <v/>
      </c>
      <c r="K139" s="22" t="str">
        <f t="shared" si="37"/>
        <v/>
      </c>
      <c r="L139" s="22" t="str">
        <f t="shared" si="37"/>
        <v/>
      </c>
    </row>
    <row r="140" spans="2:12" hidden="1" x14ac:dyDescent="0.2">
      <c r="B140" s="29" t="str">
        <f t="shared" si="36"/>
        <v/>
      </c>
      <c r="C140" s="22" t="str">
        <f t="shared" si="37"/>
        <v/>
      </c>
      <c r="D140" s="22" t="str">
        <f t="shared" si="37"/>
        <v/>
      </c>
      <c r="E140" s="22" t="str">
        <f t="shared" si="37"/>
        <v/>
      </c>
      <c r="F140" s="22" t="str">
        <f t="shared" si="37"/>
        <v/>
      </c>
      <c r="G140" s="22" t="str">
        <f t="shared" si="37"/>
        <v/>
      </c>
      <c r="H140" s="22" t="str">
        <f t="shared" si="37"/>
        <v/>
      </c>
      <c r="I140" s="22" t="str">
        <f t="shared" si="37"/>
        <v/>
      </c>
      <c r="J140" s="22" t="str">
        <f t="shared" si="37"/>
        <v/>
      </c>
      <c r="K140" s="22" t="str">
        <f t="shared" si="37"/>
        <v/>
      </c>
      <c r="L140" s="22" t="str">
        <f t="shared" si="37"/>
        <v/>
      </c>
    </row>
    <row r="141" spans="2:12" hidden="1" x14ac:dyDescent="0.2">
      <c r="B141" s="29" t="str">
        <f t="shared" si="36"/>
        <v/>
      </c>
      <c r="C141" s="22" t="str">
        <f t="shared" si="37"/>
        <v/>
      </c>
      <c r="D141" s="22" t="str">
        <f t="shared" si="37"/>
        <v/>
      </c>
      <c r="E141" s="22" t="str">
        <f t="shared" si="37"/>
        <v/>
      </c>
      <c r="F141" s="22" t="str">
        <f t="shared" si="37"/>
        <v/>
      </c>
      <c r="G141" s="22" t="str">
        <f t="shared" si="37"/>
        <v/>
      </c>
      <c r="H141" s="22" t="str">
        <f t="shared" si="37"/>
        <v/>
      </c>
      <c r="I141" s="22" t="str">
        <f t="shared" si="37"/>
        <v/>
      </c>
      <c r="J141" s="22" t="str">
        <f t="shared" si="37"/>
        <v/>
      </c>
      <c r="K141" s="22" t="str">
        <f t="shared" si="37"/>
        <v/>
      </c>
      <c r="L141" s="22" t="str">
        <f t="shared" si="37"/>
        <v/>
      </c>
    </row>
    <row r="142" spans="2:12" hidden="1" x14ac:dyDescent="0.2">
      <c r="B142" s="29" t="str">
        <f t="shared" si="36"/>
        <v/>
      </c>
      <c r="C142" s="22" t="str">
        <f t="shared" si="37"/>
        <v/>
      </c>
      <c r="D142" s="22" t="str">
        <f t="shared" si="37"/>
        <v/>
      </c>
      <c r="E142" s="22" t="str">
        <f t="shared" si="37"/>
        <v/>
      </c>
      <c r="F142" s="22" t="str">
        <f t="shared" si="37"/>
        <v/>
      </c>
      <c r="G142" s="22" t="str">
        <f t="shared" si="37"/>
        <v/>
      </c>
      <c r="H142" s="22" t="str">
        <f t="shared" si="37"/>
        <v/>
      </c>
      <c r="I142" s="22" t="str">
        <f t="shared" si="37"/>
        <v/>
      </c>
      <c r="J142" s="22" t="str">
        <f t="shared" si="37"/>
        <v/>
      </c>
      <c r="K142" s="22" t="str">
        <f t="shared" si="37"/>
        <v/>
      </c>
      <c r="L142" s="22" t="str">
        <f t="shared" si="37"/>
        <v/>
      </c>
    </row>
    <row r="143" spans="2:12" hidden="1" x14ac:dyDescent="0.2">
      <c r="B143" s="29" t="str">
        <f t="shared" si="36"/>
        <v/>
      </c>
      <c r="C143" s="22" t="str">
        <f t="shared" si="37"/>
        <v/>
      </c>
      <c r="D143" s="22" t="str">
        <f t="shared" si="37"/>
        <v/>
      </c>
      <c r="E143" s="22" t="str">
        <f t="shared" si="37"/>
        <v/>
      </c>
      <c r="F143" s="22" t="str">
        <f t="shared" si="37"/>
        <v/>
      </c>
      <c r="G143" s="22" t="str">
        <f t="shared" si="37"/>
        <v/>
      </c>
      <c r="H143" s="22" t="str">
        <f t="shared" si="37"/>
        <v/>
      </c>
      <c r="I143" s="22" t="str">
        <f t="shared" si="37"/>
        <v/>
      </c>
      <c r="J143" s="22" t="str">
        <f t="shared" si="37"/>
        <v/>
      </c>
      <c r="K143" s="22" t="str">
        <f t="shared" si="37"/>
        <v/>
      </c>
      <c r="L143" s="22" t="str">
        <f t="shared" si="37"/>
        <v/>
      </c>
    </row>
    <row r="144" spans="2:12" hidden="1" x14ac:dyDescent="0.2">
      <c r="B144" s="29" t="str">
        <f t="shared" si="36"/>
        <v/>
      </c>
      <c r="C144" s="22" t="str">
        <f t="shared" si="37"/>
        <v/>
      </c>
      <c r="D144" s="22" t="str">
        <f t="shared" si="37"/>
        <v/>
      </c>
      <c r="E144" s="22" t="str">
        <f t="shared" si="37"/>
        <v/>
      </c>
      <c r="F144" s="22" t="str">
        <f t="shared" si="37"/>
        <v/>
      </c>
      <c r="G144" s="22" t="str">
        <f t="shared" si="37"/>
        <v/>
      </c>
      <c r="H144" s="22" t="str">
        <f t="shared" si="37"/>
        <v/>
      </c>
      <c r="I144" s="22" t="str">
        <f t="shared" si="37"/>
        <v/>
      </c>
      <c r="J144" s="22" t="str">
        <f t="shared" si="37"/>
        <v/>
      </c>
      <c r="K144" s="22" t="str">
        <f t="shared" si="37"/>
        <v/>
      </c>
      <c r="L144" s="22" t="str">
        <f t="shared" si="37"/>
        <v/>
      </c>
    </row>
    <row r="145" spans="2:12" hidden="1" x14ac:dyDescent="0.2">
      <c r="B145" s="29" t="str">
        <f t="shared" si="36"/>
        <v/>
      </c>
      <c r="C145" s="22" t="str">
        <f t="shared" si="37"/>
        <v/>
      </c>
      <c r="D145" s="22" t="str">
        <f t="shared" si="37"/>
        <v/>
      </c>
      <c r="E145" s="22" t="str">
        <f t="shared" si="37"/>
        <v/>
      </c>
      <c r="F145" s="22" t="str">
        <f t="shared" si="37"/>
        <v/>
      </c>
      <c r="G145" s="22" t="str">
        <f t="shared" si="37"/>
        <v/>
      </c>
      <c r="H145" s="22" t="str">
        <f t="shared" si="37"/>
        <v/>
      </c>
      <c r="I145" s="22" t="str">
        <f t="shared" si="37"/>
        <v/>
      </c>
      <c r="J145" s="22" t="str">
        <f t="shared" si="37"/>
        <v/>
      </c>
      <c r="K145" s="22" t="str">
        <f t="shared" si="37"/>
        <v/>
      </c>
      <c r="L145" s="22" t="str">
        <f t="shared" si="37"/>
        <v/>
      </c>
    </row>
    <row r="146" spans="2:12" hidden="1" x14ac:dyDescent="0.2">
      <c r="B146" s="29" t="str">
        <f t="shared" si="36"/>
        <v/>
      </c>
      <c r="C146" s="22" t="str">
        <f t="shared" si="37"/>
        <v/>
      </c>
      <c r="D146" s="22" t="str">
        <f t="shared" si="37"/>
        <v/>
      </c>
      <c r="E146" s="22" t="str">
        <f t="shared" si="37"/>
        <v/>
      </c>
      <c r="F146" s="22" t="str">
        <f t="shared" si="37"/>
        <v/>
      </c>
      <c r="G146" s="22" t="str">
        <f t="shared" si="37"/>
        <v/>
      </c>
      <c r="H146" s="22" t="str">
        <f t="shared" si="37"/>
        <v/>
      </c>
      <c r="I146" s="22" t="str">
        <f t="shared" si="37"/>
        <v/>
      </c>
      <c r="J146" s="22" t="str">
        <f t="shared" si="37"/>
        <v/>
      </c>
      <c r="K146" s="22" t="str">
        <f t="shared" si="37"/>
        <v/>
      </c>
      <c r="L146" s="22" t="str">
        <f t="shared" si="37"/>
        <v/>
      </c>
    </row>
    <row r="147" spans="2:12" hidden="1" x14ac:dyDescent="0.2">
      <c r="B147" s="29" t="str">
        <f t="shared" si="36"/>
        <v/>
      </c>
      <c r="C147" s="22" t="str">
        <f t="shared" si="37"/>
        <v/>
      </c>
      <c r="D147" s="22" t="str">
        <f t="shared" si="37"/>
        <v/>
      </c>
      <c r="E147" s="22" t="str">
        <f t="shared" si="37"/>
        <v/>
      </c>
      <c r="F147" s="22" t="str">
        <f t="shared" si="37"/>
        <v/>
      </c>
      <c r="G147" s="22" t="str">
        <f t="shared" si="37"/>
        <v/>
      </c>
      <c r="H147" s="22" t="str">
        <f t="shared" si="37"/>
        <v/>
      </c>
      <c r="I147" s="22" t="str">
        <f t="shared" si="37"/>
        <v/>
      </c>
      <c r="J147" s="22" t="str">
        <f t="shared" si="37"/>
        <v/>
      </c>
      <c r="K147" s="22" t="str">
        <f t="shared" si="37"/>
        <v/>
      </c>
      <c r="L147" s="22" t="str">
        <f t="shared" si="37"/>
        <v/>
      </c>
    </row>
    <row r="148" spans="2:12" hidden="1" x14ac:dyDescent="0.2">
      <c r="B148" s="29" t="str">
        <f t="shared" si="36"/>
        <v/>
      </c>
      <c r="C148" s="22" t="str">
        <f t="shared" ref="C148:L150" si="38">IF(C$73=4,C21,"")</f>
        <v/>
      </c>
      <c r="D148" s="22" t="str">
        <f t="shared" si="38"/>
        <v/>
      </c>
      <c r="E148" s="22" t="str">
        <f t="shared" si="38"/>
        <v/>
      </c>
      <c r="F148" s="22" t="str">
        <f t="shared" si="38"/>
        <v/>
      </c>
      <c r="G148" s="22" t="str">
        <f t="shared" si="38"/>
        <v/>
      </c>
      <c r="H148" s="22" t="str">
        <f t="shared" si="38"/>
        <v/>
      </c>
      <c r="I148" s="22" t="str">
        <f t="shared" si="38"/>
        <v/>
      </c>
      <c r="J148" s="22" t="str">
        <f t="shared" si="38"/>
        <v/>
      </c>
      <c r="K148" s="22" t="str">
        <f t="shared" si="38"/>
        <v/>
      </c>
      <c r="L148" s="22" t="str">
        <f t="shared" si="38"/>
        <v/>
      </c>
    </row>
    <row r="149" spans="2:12" hidden="1" x14ac:dyDescent="0.2">
      <c r="B149" s="29" t="str">
        <f t="shared" si="36"/>
        <v/>
      </c>
      <c r="C149" s="22" t="str">
        <f t="shared" si="38"/>
        <v/>
      </c>
      <c r="D149" s="22" t="str">
        <f t="shared" si="38"/>
        <v/>
      </c>
      <c r="E149" s="22" t="str">
        <f t="shared" si="38"/>
        <v/>
      </c>
      <c r="F149" s="22" t="str">
        <f t="shared" si="38"/>
        <v/>
      </c>
      <c r="G149" s="22" t="str">
        <f t="shared" si="38"/>
        <v/>
      </c>
      <c r="H149" s="22" t="str">
        <f t="shared" si="38"/>
        <v/>
      </c>
      <c r="I149" s="22" t="str">
        <f t="shared" si="38"/>
        <v/>
      </c>
      <c r="J149" s="22" t="str">
        <f t="shared" si="38"/>
        <v/>
      </c>
      <c r="K149" s="22" t="str">
        <f t="shared" si="38"/>
        <v/>
      </c>
      <c r="L149" s="22" t="str">
        <f t="shared" si="38"/>
        <v/>
      </c>
    </row>
    <row r="150" spans="2:12" hidden="1" x14ac:dyDescent="0.2">
      <c r="B150" s="29" t="str">
        <f t="shared" si="36"/>
        <v/>
      </c>
      <c r="C150" s="22" t="str">
        <f t="shared" si="38"/>
        <v/>
      </c>
      <c r="D150" s="22" t="str">
        <f t="shared" si="38"/>
        <v/>
      </c>
      <c r="E150" s="22" t="str">
        <f t="shared" si="38"/>
        <v/>
      </c>
      <c r="F150" s="22" t="str">
        <f t="shared" si="38"/>
        <v/>
      </c>
      <c r="G150" s="22" t="str">
        <f t="shared" si="38"/>
        <v/>
      </c>
      <c r="H150" s="22" t="str">
        <f t="shared" si="38"/>
        <v/>
      </c>
      <c r="I150" s="22" t="str">
        <f t="shared" si="38"/>
        <v/>
      </c>
      <c r="J150" s="22" t="str">
        <f t="shared" si="38"/>
        <v/>
      </c>
      <c r="K150" s="22" t="str">
        <f t="shared" si="38"/>
        <v/>
      </c>
      <c r="L150" s="22" t="str">
        <f t="shared" si="38"/>
        <v/>
      </c>
    </row>
    <row r="151" spans="2:12" hidden="1" x14ac:dyDescent="0.2"/>
    <row r="152" spans="2:12" hidden="1" x14ac:dyDescent="0.2"/>
    <row r="153" spans="2:12" hidden="1" x14ac:dyDescent="0.2"/>
    <row r="154" spans="2:12" hidden="1" x14ac:dyDescent="0.2"/>
    <row r="155" spans="2:12" hidden="1" x14ac:dyDescent="0.2"/>
    <row r="156" spans="2:12" hidden="1" x14ac:dyDescent="0.2"/>
    <row r="157" spans="2:12" hidden="1" x14ac:dyDescent="0.2"/>
    <row r="158" spans="2:12" hidden="1" x14ac:dyDescent="0.2"/>
    <row r="159" spans="2:12" hidden="1" x14ac:dyDescent="0.2"/>
    <row r="160" spans="2:12"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sheetData>
  <sheetProtection password="D040" sheet="1" objects="1" scenarios="1"/>
  <mergeCells count="3">
    <mergeCell ref="C2:L2"/>
    <mergeCell ref="N26:P26"/>
    <mergeCell ref="O35:P37"/>
  </mergeCells>
  <pageMargins left="0.7" right="0.7" top="0.75" bottom="0.75" header="0.3" footer="0.3"/>
  <pageSetup scale="75"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nchor moveWithCells="1">
                  <from>
                    <xdr:col>1</xdr:col>
                    <xdr:colOff>1676400</xdr:colOff>
                    <xdr:row>37</xdr:row>
                    <xdr:rowOff>0</xdr:rowOff>
                  </from>
                  <to>
                    <xdr:col>3</xdr:col>
                    <xdr:colOff>9525</xdr:colOff>
                    <xdr:row>38</xdr:row>
                    <xdr:rowOff>47625</xdr:rowOff>
                  </to>
                </anchor>
              </controlPr>
            </control>
          </mc:Choice>
        </mc:AlternateContent>
        <mc:AlternateContent xmlns:mc="http://schemas.openxmlformats.org/markup-compatibility/2006">
          <mc:Choice Requires="x14">
            <control shapeId="15362" r:id="rId5" name="Drop Down 2">
              <controlPr defaultSize="0" autoLine="0" autoPict="0">
                <anchor moveWithCells="1">
                  <from>
                    <xdr:col>2</xdr:col>
                    <xdr:colOff>628650</xdr:colOff>
                    <xdr:row>37</xdr:row>
                    <xdr:rowOff>0</xdr:rowOff>
                  </from>
                  <to>
                    <xdr:col>4</xdr:col>
                    <xdr:colOff>0</xdr:colOff>
                    <xdr:row>38</xdr:row>
                    <xdr:rowOff>47625</xdr:rowOff>
                  </to>
                </anchor>
              </controlPr>
            </control>
          </mc:Choice>
        </mc:AlternateContent>
        <mc:AlternateContent xmlns:mc="http://schemas.openxmlformats.org/markup-compatibility/2006">
          <mc:Choice Requires="x14">
            <control shapeId="15363" r:id="rId6" name="Drop Down 3">
              <controlPr defaultSize="0" autoLine="0" autoPict="0">
                <anchor moveWithCells="1">
                  <from>
                    <xdr:col>3</xdr:col>
                    <xdr:colOff>619125</xdr:colOff>
                    <xdr:row>37</xdr:row>
                    <xdr:rowOff>0</xdr:rowOff>
                  </from>
                  <to>
                    <xdr:col>4</xdr:col>
                    <xdr:colOff>638175</xdr:colOff>
                    <xdr:row>38</xdr:row>
                    <xdr:rowOff>47625</xdr:rowOff>
                  </to>
                </anchor>
              </controlPr>
            </control>
          </mc:Choice>
        </mc:AlternateContent>
        <mc:AlternateContent xmlns:mc="http://schemas.openxmlformats.org/markup-compatibility/2006">
          <mc:Choice Requires="x14">
            <control shapeId="15364" r:id="rId7" name="Drop Down 4">
              <controlPr defaultSize="0" autoLine="0" autoPict="0">
                <anchor moveWithCells="1">
                  <from>
                    <xdr:col>4</xdr:col>
                    <xdr:colOff>619125</xdr:colOff>
                    <xdr:row>37</xdr:row>
                    <xdr:rowOff>0</xdr:rowOff>
                  </from>
                  <to>
                    <xdr:col>5</xdr:col>
                    <xdr:colOff>638175</xdr:colOff>
                    <xdr:row>38</xdr:row>
                    <xdr:rowOff>47625</xdr:rowOff>
                  </to>
                </anchor>
              </controlPr>
            </control>
          </mc:Choice>
        </mc:AlternateContent>
        <mc:AlternateContent xmlns:mc="http://schemas.openxmlformats.org/markup-compatibility/2006">
          <mc:Choice Requires="x14">
            <control shapeId="15365" r:id="rId8" name="Drop Down 5">
              <controlPr defaultSize="0" autoLine="0" autoPict="0">
                <anchor moveWithCells="1">
                  <from>
                    <xdr:col>5</xdr:col>
                    <xdr:colOff>619125</xdr:colOff>
                    <xdr:row>37</xdr:row>
                    <xdr:rowOff>0</xdr:rowOff>
                  </from>
                  <to>
                    <xdr:col>6</xdr:col>
                    <xdr:colOff>638175</xdr:colOff>
                    <xdr:row>38</xdr:row>
                    <xdr:rowOff>47625</xdr:rowOff>
                  </to>
                </anchor>
              </controlPr>
            </control>
          </mc:Choice>
        </mc:AlternateContent>
        <mc:AlternateContent xmlns:mc="http://schemas.openxmlformats.org/markup-compatibility/2006">
          <mc:Choice Requires="x14">
            <control shapeId="15366" r:id="rId9" name="Drop Down 6">
              <controlPr defaultSize="0" autoLine="0" autoPict="0">
                <anchor moveWithCells="1">
                  <from>
                    <xdr:col>6</xdr:col>
                    <xdr:colOff>628650</xdr:colOff>
                    <xdr:row>37</xdr:row>
                    <xdr:rowOff>0</xdr:rowOff>
                  </from>
                  <to>
                    <xdr:col>8</xdr:col>
                    <xdr:colOff>0</xdr:colOff>
                    <xdr:row>38</xdr:row>
                    <xdr:rowOff>47625</xdr:rowOff>
                  </to>
                </anchor>
              </controlPr>
            </control>
          </mc:Choice>
        </mc:AlternateContent>
        <mc:AlternateContent xmlns:mc="http://schemas.openxmlformats.org/markup-compatibility/2006">
          <mc:Choice Requires="x14">
            <control shapeId="15367" r:id="rId10" name="Drop Down 7">
              <controlPr defaultSize="0" autoLine="0" autoPict="0">
                <anchor moveWithCells="1">
                  <from>
                    <xdr:col>7</xdr:col>
                    <xdr:colOff>628650</xdr:colOff>
                    <xdr:row>37</xdr:row>
                    <xdr:rowOff>0</xdr:rowOff>
                  </from>
                  <to>
                    <xdr:col>9</xdr:col>
                    <xdr:colOff>0</xdr:colOff>
                    <xdr:row>38</xdr:row>
                    <xdr:rowOff>47625</xdr:rowOff>
                  </to>
                </anchor>
              </controlPr>
            </control>
          </mc:Choice>
        </mc:AlternateContent>
        <mc:AlternateContent xmlns:mc="http://schemas.openxmlformats.org/markup-compatibility/2006">
          <mc:Choice Requires="x14">
            <control shapeId="15368" r:id="rId11" name="Drop Down 8">
              <controlPr defaultSize="0" autoLine="0" autoPict="0">
                <anchor moveWithCells="1">
                  <from>
                    <xdr:col>8</xdr:col>
                    <xdr:colOff>619125</xdr:colOff>
                    <xdr:row>37</xdr:row>
                    <xdr:rowOff>0</xdr:rowOff>
                  </from>
                  <to>
                    <xdr:col>9</xdr:col>
                    <xdr:colOff>638175</xdr:colOff>
                    <xdr:row>38</xdr:row>
                    <xdr:rowOff>47625</xdr:rowOff>
                  </to>
                </anchor>
              </controlPr>
            </control>
          </mc:Choice>
        </mc:AlternateContent>
        <mc:AlternateContent xmlns:mc="http://schemas.openxmlformats.org/markup-compatibility/2006">
          <mc:Choice Requires="x14">
            <control shapeId="15369" r:id="rId12" name="Drop Down 9">
              <controlPr defaultSize="0" autoLine="0" autoPict="0">
                <anchor moveWithCells="1">
                  <from>
                    <xdr:col>9</xdr:col>
                    <xdr:colOff>628650</xdr:colOff>
                    <xdr:row>37</xdr:row>
                    <xdr:rowOff>0</xdr:rowOff>
                  </from>
                  <to>
                    <xdr:col>11</xdr:col>
                    <xdr:colOff>0</xdr:colOff>
                    <xdr:row>38</xdr:row>
                    <xdr:rowOff>47625</xdr:rowOff>
                  </to>
                </anchor>
              </controlPr>
            </control>
          </mc:Choice>
        </mc:AlternateContent>
        <mc:AlternateContent xmlns:mc="http://schemas.openxmlformats.org/markup-compatibility/2006">
          <mc:Choice Requires="x14">
            <control shapeId="15370" r:id="rId13" name="Drop Down 10">
              <controlPr defaultSize="0" autoLine="0" autoPict="0">
                <anchor moveWithCells="1">
                  <from>
                    <xdr:col>10</xdr:col>
                    <xdr:colOff>619125</xdr:colOff>
                    <xdr:row>37</xdr:row>
                    <xdr:rowOff>0</xdr:rowOff>
                  </from>
                  <to>
                    <xdr:col>11</xdr:col>
                    <xdr:colOff>638175</xdr:colOff>
                    <xdr:row>38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Instructions</vt:lpstr>
      <vt:lpstr>Inventory Calculator</vt:lpstr>
      <vt:lpstr>Feeds</vt:lpstr>
      <vt:lpstr>Current Rations</vt:lpstr>
      <vt:lpstr>Current Rations Cost Summary</vt:lpstr>
      <vt:lpstr>Acreage-Inoculant</vt:lpstr>
      <vt:lpstr>Feed Contracts</vt:lpstr>
      <vt:lpstr>FC Links</vt:lpstr>
      <vt:lpstr>Proposed Rations</vt:lpstr>
      <vt:lpstr>Proposed Rations Cost Summary</vt:lpstr>
      <vt:lpstr>Current vs Proposed Rations</vt:lpstr>
      <vt:lpstr>'Acreage-Inoculant'!Print_Area</vt:lpstr>
      <vt:lpstr>Feeds!Print_Area</vt:lpstr>
      <vt:lpstr>'Inventory Calculator'!Print_Area</vt:lpstr>
    </vt:vector>
  </TitlesOfParts>
  <Company>Vita Plus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Feed Inventory v05-15</dc:title>
  <dc:creator>.</dc:creator>
  <cp:lastModifiedBy>Jon Rasmussen</cp:lastModifiedBy>
  <cp:lastPrinted>2015-04-27T17:37:56Z</cp:lastPrinted>
  <dcterms:created xsi:type="dcterms:W3CDTF">2004-07-19T18:57:36Z</dcterms:created>
  <dcterms:modified xsi:type="dcterms:W3CDTF">2016-04-11T18:53:51Z</dcterms:modified>
</cp:coreProperties>
</file>