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3260" windowHeight="9465" activeTab="0"/>
  </bookViews>
  <sheets>
    <sheet name="Instructions" sheetId="1" r:id="rId1"/>
    <sheet name="Inoculant Decision Tree" sheetId="2" r:id="rId2"/>
    <sheet name="Corn Decider" sheetId="3" r:id="rId3"/>
    <sheet name="Inoculant DM Savings" sheetId="4" r:id="rId4"/>
  </sheets>
  <definedNames/>
  <calcPr fullCalcOnLoad="1"/>
</workbook>
</file>

<file path=xl/comments3.xml><?xml version="1.0" encoding="utf-8"?>
<comments xmlns="http://schemas.openxmlformats.org/spreadsheetml/2006/main">
  <authors>
    <author>vp</author>
  </authors>
  <commentList>
    <comment ref="O17" authorId="0">
      <text>
        <r>
          <rPr>
            <sz val="8"/>
            <rFont val="Tahoma"/>
            <family val="0"/>
          </rPr>
          <t xml:space="preserve">If all feed bagged: 30-40%.
If only corn is bagged: 100%.
If bagger rented: 0%.
</t>
        </r>
      </text>
    </comment>
    <comment ref="O32" authorId="0">
      <text>
        <r>
          <rPr>
            <b/>
            <sz val="8"/>
            <rFont val="Tahoma"/>
            <family val="0"/>
          </rPr>
          <t>For better estimates see the "Nebraska Test" for fuel used per hour.</t>
        </r>
      </text>
    </comment>
    <comment ref="O26" authorId="0">
      <text>
        <r>
          <rPr>
            <b/>
            <sz val="8"/>
            <rFont val="Tahoma"/>
            <family val="0"/>
          </rPr>
          <t>Estimated use:
If only corn in uprights: 100%
If no uprights: 0%</t>
        </r>
      </text>
    </comment>
    <comment ref="G34" authorId="0">
      <text>
        <r>
          <rPr>
            <b/>
            <sz val="8"/>
            <rFont val="Tahoma"/>
            <family val="0"/>
          </rPr>
          <t>Estimated bag cost per bushel:
$0.02 to 0.05</t>
        </r>
      </text>
    </comment>
    <comment ref="G35" authorId="0">
      <text>
        <r>
          <rPr>
            <b/>
            <sz val="8"/>
            <rFont val="Tahoma"/>
            <family val="0"/>
          </rPr>
          <t>Estimated Bunker Plastic Cost (depends on depth of bunker and denisty:
Regular Plastic: $0.005-$0.01 per bushel
Silostop and Regular: $0.01-$0.02 per bushel</t>
        </r>
      </text>
    </comment>
    <comment ref="G22" authorId="0">
      <text>
        <r>
          <rPr>
            <b/>
            <sz val="8"/>
            <rFont val="Tahoma"/>
            <family val="0"/>
          </rPr>
          <t>Estimated at $0.03 to $0.07 depending on size and life span of the storage unit.</t>
        </r>
      </text>
    </comment>
    <comment ref="G17" authorId="0">
      <text>
        <r>
          <rPr>
            <b/>
            <sz val="8"/>
            <rFont val="Tahoma"/>
            <family val="0"/>
          </rPr>
          <t>Miles roundtrip from field to farm.</t>
        </r>
      </text>
    </comment>
    <comment ref="D17" authorId="0">
      <text>
        <r>
          <rPr>
            <b/>
            <sz val="8"/>
            <rFont val="Tahoma"/>
            <family val="0"/>
          </rPr>
          <t>Miles roundtrip from field to dryer.</t>
        </r>
      </text>
    </comment>
    <comment ref="D12" authorId="0">
      <text>
        <r>
          <rPr>
            <b/>
            <sz val="8"/>
            <rFont val="Tahoma"/>
            <family val="0"/>
          </rPr>
          <t>Moisture level of "dried" corn.</t>
        </r>
      </text>
    </comment>
    <comment ref="D11" authorId="0">
      <text>
        <r>
          <rPr>
            <b/>
            <sz val="8"/>
            <rFont val="Tahoma"/>
            <family val="0"/>
          </rPr>
          <t>Moisture of corn at harvest.</t>
        </r>
      </text>
    </comment>
    <comment ref="O19" authorId="0">
      <text>
        <r>
          <rPr>
            <b/>
            <sz val="8"/>
            <rFont val="Tahoma"/>
            <family val="0"/>
          </rPr>
          <t>Enter Cost to rent bagger.  If no bagger rental, enter 0.</t>
        </r>
      </text>
    </comment>
    <comment ref="C26" authorId="0">
      <text>
        <r>
          <rPr>
            <b/>
            <sz val="8"/>
            <rFont val="Tahoma"/>
            <family val="0"/>
          </rPr>
          <t>Typical shrink from grinding and handling ranges from 1-3%</t>
        </r>
      </text>
    </comment>
    <comment ref="F30" authorId="0">
      <text>
        <r>
          <rPr>
            <b/>
            <sz val="8"/>
            <rFont val="Tahoma"/>
            <family val="0"/>
          </rPr>
          <t>Fermentation Shrink typically ranges 3-5%</t>
        </r>
      </text>
    </comment>
    <comment ref="F26" authorId="0">
      <text>
        <r>
          <rPr>
            <b/>
            <sz val="8"/>
            <rFont val="Tahoma"/>
            <family val="0"/>
          </rPr>
          <t>Processing of high moisture corn typically has 2-4% shrink.</t>
        </r>
      </text>
    </comment>
  </commentList>
</comments>
</file>

<file path=xl/comments4.xml><?xml version="1.0" encoding="utf-8"?>
<comments xmlns="http://schemas.openxmlformats.org/spreadsheetml/2006/main">
  <authors>
    <author>vp</author>
  </authors>
  <commentList>
    <comment ref="C7" authorId="0">
      <text>
        <r>
          <rPr>
            <b/>
            <sz val="8"/>
            <rFont val="Tahoma"/>
            <family val="0"/>
          </rPr>
          <t>Fermentation shrink will normally be between 5-15%.</t>
        </r>
      </text>
    </comment>
    <comment ref="K7" authorId="0">
      <text>
        <r>
          <rPr>
            <b/>
            <sz val="8"/>
            <rFont val="Tahoma"/>
            <family val="0"/>
          </rPr>
          <t>Input the % of dry matter savings based on the research for the specific inoculant.  Typical will be 2-5%.</t>
        </r>
      </text>
    </comment>
  </commentList>
</comments>
</file>

<file path=xl/sharedStrings.xml><?xml version="1.0" encoding="utf-8"?>
<sst xmlns="http://schemas.openxmlformats.org/spreadsheetml/2006/main" count="119" uniqueCount="99">
  <si>
    <t>Cost Comparing Dry Corn Storage vs HMSC Storage</t>
  </si>
  <si>
    <t>Dry Corn</t>
  </si>
  <si>
    <t>HMSC</t>
  </si>
  <si>
    <t>Forage</t>
  </si>
  <si>
    <t>Harvest Intention Tonnage</t>
  </si>
  <si>
    <t>Normal Fermentation Shrink</t>
  </si>
  <si>
    <t>Shrink   (DM lost)</t>
  </si>
  <si>
    <t>Forage Value ($/ton)</t>
  </si>
  <si>
    <t>Shrink value</t>
  </si>
  <si>
    <t>Acres Needed</t>
  </si>
  <si>
    <t>Inoculant Cost / Ton</t>
  </si>
  <si>
    <t>Total Inoculant Cost</t>
  </si>
  <si>
    <t>Reduction of DM Loss</t>
  </si>
  <si>
    <t>DM saved (reduced shrink)</t>
  </si>
  <si>
    <t>$ DM saved</t>
  </si>
  <si>
    <t>Savings</t>
  </si>
  <si>
    <t>CS</t>
  </si>
  <si>
    <t/>
  </si>
  <si>
    <t>Loan Figures</t>
  </si>
  <si>
    <t>Length of Loan in months</t>
  </si>
  <si>
    <t>Interest Rate</t>
  </si>
  <si>
    <t>Cost per Month</t>
  </si>
  <si>
    <t>Plastic Cost</t>
  </si>
  <si>
    <t>Price of Dry Corn (85% DM)</t>
  </si>
  <si>
    <t>Ensiling Cost (bag, bunker, upright)</t>
  </si>
  <si>
    <t>Corn Harvesting Moisture</t>
  </si>
  <si>
    <t>Processed Moisture</t>
  </si>
  <si>
    <t>Trucking Charge per Mile</t>
  </si>
  <si>
    <t>Trucking Miles</t>
  </si>
  <si>
    <t>Trucking Charge per Bushel</t>
  </si>
  <si>
    <t>Lbs / Bushel</t>
  </si>
  <si>
    <t>None</t>
  </si>
  <si>
    <t>Dry Corn Bushel Amount</t>
  </si>
  <si>
    <t>Dry Bushels on Truck</t>
  </si>
  <si>
    <t>Which Crop-N-Rich Inoculant Should I Use?</t>
  </si>
  <si>
    <t>Tractor Cost</t>
  </si>
  <si>
    <t>Number of tractors needed:</t>
  </si>
  <si>
    <t>Local Rental Fee ($/hp/hour)</t>
  </si>
  <si>
    <t>Total Tractor Horsepower</t>
  </si>
  <si>
    <t>Drying Charge ($/point)</t>
  </si>
  <si>
    <t>Storage Charge ($/bushel/month)</t>
  </si>
  <si>
    <t>(6 month figured for average)</t>
  </si>
  <si>
    <t>Grinding Cost ($/ton)</t>
  </si>
  <si>
    <t>Delivery Charge ($/ton)</t>
  </si>
  <si>
    <t>Cost of Bagger</t>
  </si>
  <si>
    <t>% of Total DM Feed Bagged</t>
  </si>
  <si>
    <t>Cost per Bushel</t>
  </si>
  <si>
    <t>Cost Per Bushel</t>
  </si>
  <si>
    <t>Fuel used per hour per tractor (gallons)</t>
  </si>
  <si>
    <t>Fuel Cost per bushel</t>
  </si>
  <si>
    <t>Tractor Rental Cost per bushel</t>
  </si>
  <si>
    <t>Cost of Corn Processor (Roller / Hammer Mill)</t>
  </si>
  <si>
    <t>Bagger Rental Cost</t>
  </si>
  <si>
    <t>Cost of Forage Blower (if needed)</t>
  </si>
  <si>
    <t>% of Total DM Feed Used on</t>
  </si>
  <si>
    <t>Total Equipment Cost</t>
  </si>
  <si>
    <t>Labor Cost</t>
  </si>
  <si>
    <t>Number of Employees to run processing</t>
  </si>
  <si>
    <t>$/hr for labor</t>
  </si>
  <si>
    <t>Labor Cost per Bushel</t>
  </si>
  <si>
    <t>Inoculant Cost</t>
  </si>
  <si>
    <t>Product (Buchneri preferred) cost per ton</t>
  </si>
  <si>
    <t>Cost per bushel</t>
  </si>
  <si>
    <t>AF Tonnage / Acre</t>
  </si>
  <si>
    <t>Forage and Inoculant Economics</t>
  </si>
  <si>
    <t>Farm:</t>
  </si>
  <si>
    <t>Date:</t>
  </si>
  <si>
    <t>Vita Plus Consultant:</t>
  </si>
  <si>
    <t>Equipment Figures</t>
  </si>
  <si>
    <t>Sample Farm</t>
  </si>
  <si>
    <t>VP</t>
  </si>
  <si>
    <t>Total Processing Cost per Bushel of Dry Corn</t>
  </si>
  <si>
    <t>$ per ton AF (prior to processing)</t>
  </si>
  <si>
    <t>Processing Shrink</t>
  </si>
  <si>
    <t>Fermentation Shrink</t>
  </si>
  <si>
    <t>Processing Cost</t>
  </si>
  <si>
    <t>$/bushel purchased and processed</t>
  </si>
  <si>
    <t>Vita Plus make no expressed or implied warranties or performance guarantees of any kind with respect to this program, rations, services, or products which are part of the program.</t>
  </si>
  <si>
    <t>Vita Plus Inoculant Decision Maker</t>
  </si>
  <si>
    <t xml:space="preserve">The Vita Plus Inoculant Decion Maker has been put together to assist in making </t>
  </si>
  <si>
    <t>decisions on what inoculant product to use, what the returns are, and the different</t>
  </si>
  <si>
    <t>costs in putting up either dry corn or high moisture corn.</t>
  </si>
  <si>
    <t>choose to use for each particular situation.</t>
  </si>
  <si>
    <t xml:space="preserve">grain costs, shrink amounts, labor costs, fuel costs, etc. that should be considered </t>
  </si>
  <si>
    <t xml:space="preserve">when comparing processing dry corn to high moisture corn.  </t>
  </si>
  <si>
    <t xml:space="preserve">In the remaining 2 sheets the input cells that you are allowed to change are the cells </t>
  </si>
  <si>
    <r>
      <t xml:space="preserve">The </t>
    </r>
    <r>
      <rPr>
        <b/>
        <sz val="11"/>
        <rFont val="Arial"/>
        <family val="2"/>
      </rPr>
      <t>Inoculant Decision Tree</t>
    </r>
    <r>
      <rPr>
        <b/>
        <sz val="10"/>
        <rFont val="Arial"/>
        <family val="2"/>
      </rPr>
      <t xml:space="preserve"> is a flow chart to help pick which product you should </t>
    </r>
  </si>
  <si>
    <r>
      <t xml:space="preserve">The </t>
    </r>
    <r>
      <rPr>
        <b/>
        <sz val="11"/>
        <rFont val="Arial"/>
        <family val="2"/>
      </rPr>
      <t>Corn Decider</t>
    </r>
    <r>
      <rPr>
        <b/>
        <sz val="10"/>
        <rFont val="Arial"/>
        <family val="2"/>
      </rPr>
      <t xml:space="preserve"> sheet allows you to change input costs, loans terms on equipment,</t>
    </r>
  </si>
  <si>
    <t xml:space="preserve">colored in light yellow like the back ground of these directions.  There are notes </t>
  </si>
  <si>
    <t>designating directions or typical values for several cells notes by a red dot in a cell.</t>
  </si>
  <si>
    <t xml:space="preserve">The Inoculant DM Savings allows the comparison a 5 different forages / inoculants / </t>
  </si>
  <si>
    <t>shrink amounts and the returns in choosing the product of your choice.</t>
  </si>
  <si>
    <t>Bushels ground per hour</t>
  </si>
  <si>
    <t>Fuel Cost of Grinding Tractor ($/gal)</t>
  </si>
  <si>
    <t>Bag Cost per bushel</t>
  </si>
  <si>
    <t>Bunker Cost per bushel</t>
  </si>
  <si>
    <t xml:space="preserve">Crop-N-Rich Buchneri 40788 </t>
  </si>
  <si>
    <t>TOTAL SAVINGS with HMSC</t>
  </si>
  <si>
    <t>SAVINGS PER BUSHEL with HMSC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</si>
</sst>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;[Red]&quot;$&quot;#,##0.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;[Red]&quot;$&quot;#,##0.0"/>
    <numFmt numFmtId="180" formatCode="&quot;$&quot;#,##0;[Red]&quot;$&quot;#,##0"/>
    <numFmt numFmtId="181" formatCode="[$-409]dddd\,\ mmmm\ dd\,\ yyyy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30"/>
      <name val="Arial"/>
      <family val="2"/>
    </font>
    <font>
      <sz val="24"/>
      <color indexed="12"/>
      <name val="Tahoma"/>
      <family val="0"/>
    </font>
    <font>
      <sz val="24"/>
      <color indexed="10"/>
      <name val="Tahoma"/>
      <family val="0"/>
    </font>
    <font>
      <b/>
      <sz val="24"/>
      <color indexed="10"/>
      <name val="Tahoma"/>
      <family val="0"/>
    </font>
    <font>
      <b/>
      <sz val="24"/>
      <color indexed="12"/>
      <name val="Tahoma"/>
      <family val="0"/>
    </font>
    <font>
      <b/>
      <sz val="24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28"/>
      <color indexed="10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sz val="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2" borderId="1" xfId="17" applyNumberFormat="1" applyFont="1" applyFill="1" applyBorder="1" applyAlignment="1" applyProtection="1">
      <alignment horizontal="right"/>
      <protection hidden="1"/>
    </xf>
    <xf numFmtId="164" fontId="4" fillId="2" borderId="1" xfId="0" applyNumberFormat="1" applyFont="1" applyFill="1" applyBorder="1" applyAlignment="1" applyProtection="1">
      <alignment/>
      <protection hidden="1"/>
    </xf>
    <xf numFmtId="0" fontId="4" fillId="2" borderId="1" xfId="0" applyNumberFormat="1" applyFont="1" applyFill="1" applyBorder="1" applyAlignment="1" applyProtection="1">
      <alignment/>
      <protection hidden="1"/>
    </xf>
    <xf numFmtId="0" fontId="4" fillId="2" borderId="1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Alignment="1" applyProtection="1">
      <alignment/>
      <protection hidden="1"/>
    </xf>
    <xf numFmtId="165" fontId="0" fillId="3" borderId="0" xfId="17" applyNumberFormat="1" applyFill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/>
      <protection locked="0"/>
    </xf>
    <xf numFmtId="6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167" fontId="15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0" fillId="0" borderId="0" xfId="0" applyNumberFormat="1" applyFill="1" applyAlignment="1" applyProtection="1">
      <alignment/>
      <protection hidden="1"/>
    </xf>
    <xf numFmtId="17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5" fontId="0" fillId="2" borderId="0" xfId="17" applyNumberFormat="1" applyFont="1" applyFill="1" applyAlignment="1" applyProtection="1">
      <alignment horizontal="center"/>
      <protection hidden="1"/>
    </xf>
    <xf numFmtId="44" fontId="0" fillId="0" borderId="0" xfId="17" applyFont="1" applyFill="1" applyAlignment="1" applyProtection="1">
      <alignment horizontal="center"/>
      <protection hidden="1"/>
    </xf>
    <xf numFmtId="44" fontId="0" fillId="0" borderId="0" xfId="17" applyAlignment="1" applyProtection="1">
      <alignment horizontal="center"/>
      <protection hidden="1"/>
    </xf>
    <xf numFmtId="165" fontId="0" fillId="2" borderId="0" xfId="17" applyNumberFormat="1" applyFill="1" applyAlignment="1" applyProtection="1">
      <alignment horizontal="center"/>
      <protection hidden="1"/>
    </xf>
    <xf numFmtId="44" fontId="0" fillId="2" borderId="0" xfId="17" applyFont="1" applyFill="1" applyAlignment="1" applyProtection="1">
      <alignment horizontal="center"/>
      <protection hidden="1"/>
    </xf>
    <xf numFmtId="44" fontId="0" fillId="0" borderId="0" xfId="17" applyFill="1" applyAlignment="1" applyProtection="1">
      <alignment horizontal="center"/>
      <protection hidden="1"/>
    </xf>
    <xf numFmtId="180" fontId="0" fillId="0" borderId="0" xfId="0" applyNumberFormat="1" applyAlignment="1" applyProtection="1">
      <alignment/>
      <protection hidden="1"/>
    </xf>
    <xf numFmtId="167" fontId="0" fillId="2" borderId="0" xfId="17" applyNumberFormat="1" applyFill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44" fontId="0" fillId="0" borderId="0" xfId="17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44" fontId="0" fillId="0" borderId="2" xfId="17" applyBorder="1" applyAlignment="1" applyProtection="1">
      <alignment/>
      <protection hidden="1"/>
    </xf>
    <xf numFmtId="44" fontId="2" fillId="4" borderId="0" xfId="0" applyNumberFormat="1" applyFont="1" applyFill="1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9" fontId="0" fillId="3" borderId="0" xfId="19" applyFill="1" applyAlignment="1" applyProtection="1">
      <alignment/>
      <protection locked="0"/>
    </xf>
    <xf numFmtId="180" fontId="0" fillId="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14" fontId="0" fillId="3" borderId="0" xfId="0" applyNumberFormat="1" applyFill="1" applyAlignment="1" applyProtection="1">
      <alignment horizontal="left"/>
      <protection locked="0"/>
    </xf>
    <xf numFmtId="9" fontId="4" fillId="3" borderId="1" xfId="19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165" fontId="0" fillId="3" borderId="4" xfId="0" applyNumberFormat="1" applyFill="1" applyBorder="1" applyAlignment="1" applyProtection="1">
      <alignment/>
      <protection locked="0"/>
    </xf>
    <xf numFmtId="7" fontId="0" fillId="3" borderId="3" xfId="17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6" fontId="0" fillId="3" borderId="3" xfId="0" applyNumberFormat="1" applyFill="1" applyBorder="1" applyAlignment="1" applyProtection="1">
      <alignment/>
      <protection locked="0"/>
    </xf>
    <xf numFmtId="166" fontId="0" fillId="3" borderId="4" xfId="19" applyNumberFormat="1" applyFill="1" applyBorder="1" applyAlignment="1" applyProtection="1">
      <alignment/>
      <protection locked="0"/>
    </xf>
    <xf numFmtId="8" fontId="0" fillId="3" borderId="3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3" fontId="0" fillId="3" borderId="0" xfId="0" applyNumberFormat="1" applyFill="1" applyAlignment="1" applyProtection="1">
      <alignment/>
      <protection locked="0"/>
    </xf>
    <xf numFmtId="7" fontId="0" fillId="3" borderId="0" xfId="17" applyNumberFormat="1" applyFill="1" applyAlignment="1" applyProtection="1">
      <alignment horizontal="center"/>
      <protection locked="0"/>
    </xf>
    <xf numFmtId="14" fontId="4" fillId="3" borderId="4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44" fontId="0" fillId="2" borderId="0" xfId="17" applyFill="1" applyAlignment="1" applyProtection="1">
      <alignment horizontal="center"/>
      <protection hidden="1"/>
    </xf>
    <xf numFmtId="44" fontId="0" fillId="2" borderId="0" xfId="0" applyNumberFormat="1" applyFill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165" fontId="0" fillId="0" borderId="0" xfId="17" applyNumberFormat="1" applyFill="1" applyAlignment="1" applyProtection="1">
      <alignment horizontal="center"/>
      <protection hidden="1"/>
    </xf>
    <xf numFmtId="9" fontId="0" fillId="3" borderId="4" xfId="19" applyFill="1" applyBorder="1" applyAlignment="1" applyProtection="1">
      <alignment/>
      <protection locked="0"/>
    </xf>
    <xf numFmtId="0" fontId="19" fillId="3" borderId="0" xfId="0" applyFont="1" applyFill="1" applyAlignment="1" applyProtection="1">
      <alignment horizontal="right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23" fillId="3" borderId="0" xfId="0" applyFont="1" applyFill="1" applyAlignment="1" applyProtection="1">
      <alignment horizontal="centerContinuous"/>
      <protection hidden="1"/>
    </xf>
    <xf numFmtId="0" fontId="0" fillId="3" borderId="0" xfId="0" applyFont="1" applyFill="1" applyAlignment="1" applyProtection="1">
      <alignment horizontal="centerContinuous"/>
      <protection hidden="1"/>
    </xf>
    <xf numFmtId="0" fontId="4" fillId="3" borderId="0" xfId="0" applyFont="1" applyFill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9" fontId="0" fillId="3" borderId="0" xfId="19" applyFill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104775</xdr:rowOff>
    </xdr:from>
    <xdr:to>
      <xdr:col>1</xdr:col>
      <xdr:colOff>123825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1047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95250</xdr:rowOff>
    </xdr:from>
    <xdr:to>
      <xdr:col>8</xdr:col>
      <xdr:colOff>381000</xdr:colOff>
      <xdr:row>0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95875" y="952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12</xdr:col>
      <xdr:colOff>457200</xdr:colOff>
      <xdr:row>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28700" y="685800"/>
          <a:ext cx="67437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Are Feedout Issues a Concern?</a:t>
          </a:r>
        </a:p>
      </xdr:txBody>
    </xdr:sp>
    <xdr:clientData/>
  </xdr:twoCellAnchor>
  <xdr:twoCellAnchor>
    <xdr:from>
      <xdr:col>9</xdr:col>
      <xdr:colOff>571500</xdr:colOff>
      <xdr:row>5</xdr:row>
      <xdr:rowOff>133350</xdr:rowOff>
    </xdr:from>
    <xdr:to>
      <xdr:col>9</xdr:col>
      <xdr:colOff>571500</xdr:colOff>
      <xdr:row>11</xdr:row>
      <xdr:rowOff>76200</xdr:rowOff>
    </xdr:to>
    <xdr:sp>
      <xdr:nvSpPr>
        <xdr:cNvPr id="2" name="Line 4"/>
        <xdr:cNvSpPr>
          <a:spLocks/>
        </xdr:cNvSpPr>
      </xdr:nvSpPr>
      <xdr:spPr>
        <a:xfrm>
          <a:off x="6057900" y="12573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6</xdr:row>
      <xdr:rowOff>85725</xdr:rowOff>
    </xdr:from>
    <xdr:to>
      <xdr:col>9</xdr:col>
      <xdr:colOff>495300</xdr:colOff>
      <xdr:row>9</xdr:row>
      <xdr:rowOff>66675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686300" y="1371600"/>
          <a:ext cx="1295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YES</a:t>
          </a:r>
        </a:p>
      </xdr:txBody>
    </xdr:sp>
    <xdr:clientData/>
  </xdr:twoCellAnchor>
  <xdr:twoCellAnchor>
    <xdr:from>
      <xdr:col>4</xdr:col>
      <xdr:colOff>533400</xdr:colOff>
      <xdr:row>6</xdr:row>
      <xdr:rowOff>85725</xdr:rowOff>
    </xdr:from>
    <xdr:to>
      <xdr:col>7</xdr:col>
      <xdr:colOff>0</xdr:colOff>
      <xdr:row>9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971800" y="1371600"/>
          <a:ext cx="1295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NO</a:t>
          </a:r>
        </a:p>
      </xdr:txBody>
    </xdr:sp>
    <xdr:clientData/>
  </xdr:twoCellAnchor>
  <xdr:twoCellAnchor>
    <xdr:from>
      <xdr:col>7</xdr:col>
      <xdr:colOff>419100</xdr:colOff>
      <xdr:row>11</xdr:row>
      <xdr:rowOff>76200</xdr:rowOff>
    </xdr:from>
    <xdr:to>
      <xdr:col>12</xdr:col>
      <xdr:colOff>381000</xdr:colOff>
      <xdr:row>16</xdr:row>
      <xdr:rowOff>95250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686300" y="2171700"/>
          <a:ext cx="30099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Is Dry Matter Loss an Issue?</a:t>
          </a:r>
        </a:p>
      </xdr:txBody>
    </xdr:sp>
    <xdr:clientData/>
  </xdr:twoCellAnchor>
  <xdr:twoCellAnchor>
    <xdr:from>
      <xdr:col>12</xdr:col>
      <xdr:colOff>114300</xdr:colOff>
      <xdr:row>17</xdr:row>
      <xdr:rowOff>19050</xdr:rowOff>
    </xdr:from>
    <xdr:to>
      <xdr:col>12</xdr:col>
      <xdr:colOff>114300</xdr:colOff>
      <xdr:row>22</xdr:row>
      <xdr:rowOff>123825</xdr:rowOff>
    </xdr:to>
    <xdr:sp>
      <xdr:nvSpPr>
        <xdr:cNvPr id="6" name="Line 9"/>
        <xdr:cNvSpPr>
          <a:spLocks/>
        </xdr:cNvSpPr>
      </xdr:nvSpPr>
      <xdr:spPr>
        <a:xfrm>
          <a:off x="7429500" y="30861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17</xdr:row>
      <xdr:rowOff>133350</xdr:rowOff>
    </xdr:from>
    <xdr:to>
      <xdr:col>14</xdr:col>
      <xdr:colOff>0</xdr:colOff>
      <xdr:row>20</xdr:row>
      <xdr:rowOff>114300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7543800" y="3200400"/>
          <a:ext cx="990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YES</a:t>
          </a:r>
        </a:p>
      </xdr:txBody>
    </xdr:sp>
    <xdr:clientData/>
  </xdr:twoCellAnchor>
  <xdr:twoCellAnchor>
    <xdr:from>
      <xdr:col>9</xdr:col>
      <xdr:colOff>571500</xdr:colOff>
      <xdr:row>17</xdr:row>
      <xdr:rowOff>19050</xdr:rowOff>
    </xdr:from>
    <xdr:to>
      <xdr:col>9</xdr:col>
      <xdr:colOff>571500</xdr:colOff>
      <xdr:row>22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057900" y="30861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17</xdr:row>
      <xdr:rowOff>133350</xdr:rowOff>
    </xdr:from>
    <xdr:to>
      <xdr:col>9</xdr:col>
      <xdr:colOff>457200</xdr:colOff>
      <xdr:row>20</xdr:row>
      <xdr:rowOff>114300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57800" y="3200400"/>
          <a:ext cx="685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NO</a:t>
          </a:r>
        </a:p>
      </xdr:txBody>
    </xdr:sp>
    <xdr:clientData/>
  </xdr:twoCellAnchor>
  <xdr:twoCellAnchor>
    <xdr:from>
      <xdr:col>4</xdr:col>
      <xdr:colOff>190500</xdr:colOff>
      <xdr:row>5</xdr:row>
      <xdr:rowOff>133350</xdr:rowOff>
    </xdr:from>
    <xdr:to>
      <xdr:col>4</xdr:col>
      <xdr:colOff>190500</xdr:colOff>
      <xdr:row>22</xdr:row>
      <xdr:rowOff>9525</xdr:rowOff>
    </xdr:to>
    <xdr:sp>
      <xdr:nvSpPr>
        <xdr:cNvPr id="10" name="Line 3"/>
        <xdr:cNvSpPr>
          <a:spLocks/>
        </xdr:cNvSpPr>
      </xdr:nvSpPr>
      <xdr:spPr>
        <a:xfrm>
          <a:off x="2628900" y="1257300"/>
          <a:ext cx="0" cy="2628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22</xdr:row>
      <xdr:rowOff>123825</xdr:rowOff>
    </xdr:from>
    <xdr:to>
      <xdr:col>14</xdr:col>
      <xdr:colOff>571500</xdr:colOff>
      <xdr:row>25</xdr:row>
      <xdr:rowOff>104775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972300" y="4000500"/>
          <a:ext cx="21336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CNR Stage 2</a:t>
          </a:r>
        </a:p>
      </xdr:txBody>
    </xdr:sp>
    <xdr:clientData/>
  </xdr:twoCellAnchor>
  <xdr:twoCellAnchor>
    <xdr:from>
      <xdr:col>9</xdr:col>
      <xdr:colOff>571500</xdr:colOff>
      <xdr:row>29</xdr:row>
      <xdr:rowOff>133350</xdr:rowOff>
    </xdr:from>
    <xdr:to>
      <xdr:col>14</xdr:col>
      <xdr:colOff>266700</xdr:colOff>
      <xdr:row>40</xdr:row>
      <xdr:rowOff>76200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6057900" y="5143500"/>
          <a:ext cx="274320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</a:rPr>
            <a:t>Haylage, CS, Small Grains with aerobic stability problems</a:t>
          </a:r>
        </a:p>
      </xdr:txBody>
    </xdr:sp>
    <xdr:clientData/>
  </xdr:twoCellAnchor>
  <xdr:twoCellAnchor>
    <xdr:from>
      <xdr:col>12</xdr:col>
      <xdr:colOff>457200</xdr:colOff>
      <xdr:row>25</xdr:row>
      <xdr:rowOff>95250</xdr:rowOff>
    </xdr:from>
    <xdr:to>
      <xdr:col>12</xdr:col>
      <xdr:colOff>457200</xdr:colOff>
      <xdr:row>29</xdr:row>
      <xdr:rowOff>57150</xdr:rowOff>
    </xdr:to>
    <xdr:sp>
      <xdr:nvSpPr>
        <xdr:cNvPr id="13" name="Line 19"/>
        <xdr:cNvSpPr>
          <a:spLocks/>
        </xdr:cNvSpPr>
      </xdr:nvSpPr>
      <xdr:spPr>
        <a:xfrm>
          <a:off x="7772400" y="4457700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123825</xdr:rowOff>
    </xdr:from>
    <xdr:to>
      <xdr:col>11</xdr:col>
      <xdr:colOff>152400</xdr:colOff>
      <xdr:row>27</xdr:row>
      <xdr:rowOff>133350</xdr:rowOff>
    </xdr:to>
    <xdr:sp>
      <xdr:nvSpPr>
        <xdr:cNvPr id="14" name="TextBox 12"/>
        <xdr:cNvSpPr txBox="1">
          <a:spLocks noChangeArrowheads="1"/>
        </xdr:cNvSpPr>
      </xdr:nvSpPr>
      <xdr:spPr>
        <a:xfrm>
          <a:off x="4457700" y="4000500"/>
          <a:ext cx="24003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CNR Buchneri 40788</a:t>
          </a:r>
        </a:p>
      </xdr:txBody>
    </xdr:sp>
    <xdr:clientData/>
  </xdr:twoCellAnchor>
  <xdr:twoCellAnchor>
    <xdr:from>
      <xdr:col>6</xdr:col>
      <xdr:colOff>457200</xdr:colOff>
      <xdr:row>32</xdr:row>
      <xdr:rowOff>104775</xdr:rowOff>
    </xdr:from>
    <xdr:to>
      <xdr:col>9</xdr:col>
      <xdr:colOff>190500</xdr:colOff>
      <xdr:row>36</xdr:row>
      <xdr:rowOff>19050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114800" y="5600700"/>
          <a:ext cx="156210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HM Corn</a:t>
          </a:r>
        </a:p>
      </xdr:txBody>
    </xdr:sp>
    <xdr:clientData/>
  </xdr:twoCellAnchor>
  <xdr:twoCellAnchor>
    <xdr:from>
      <xdr:col>8</xdr:col>
      <xdr:colOff>266700</xdr:colOff>
      <xdr:row>28</xdr:row>
      <xdr:rowOff>66675</xdr:rowOff>
    </xdr:from>
    <xdr:to>
      <xdr:col>8</xdr:col>
      <xdr:colOff>266700</xdr:colOff>
      <xdr:row>32</xdr:row>
      <xdr:rowOff>28575</xdr:rowOff>
    </xdr:to>
    <xdr:sp>
      <xdr:nvSpPr>
        <xdr:cNvPr id="16" name="Line 14"/>
        <xdr:cNvSpPr>
          <a:spLocks/>
        </xdr:cNvSpPr>
      </xdr:nvSpPr>
      <xdr:spPr>
        <a:xfrm>
          <a:off x="5143500" y="4914900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123825</xdr:rowOff>
    </xdr:from>
    <xdr:to>
      <xdr:col>6</xdr:col>
      <xdr:colOff>114300</xdr:colOff>
      <xdr:row>25</xdr:row>
      <xdr:rowOff>104775</xdr:rowOff>
    </xdr:to>
    <xdr:sp>
      <xdr:nvSpPr>
        <xdr:cNvPr id="17" name="TextBox 16"/>
        <xdr:cNvSpPr txBox="1">
          <a:spLocks noChangeArrowheads="1"/>
        </xdr:cNvSpPr>
      </xdr:nvSpPr>
      <xdr:spPr>
        <a:xfrm>
          <a:off x="1600200" y="4000500"/>
          <a:ext cx="21717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Crop-N-Rich</a:t>
          </a:r>
        </a:p>
      </xdr:txBody>
    </xdr:sp>
    <xdr:clientData/>
  </xdr:twoCellAnchor>
  <xdr:twoCellAnchor>
    <xdr:from>
      <xdr:col>2</xdr:col>
      <xdr:colOff>381000</xdr:colOff>
      <xdr:row>30</xdr:row>
      <xdr:rowOff>85725</xdr:rowOff>
    </xdr:from>
    <xdr:to>
      <xdr:col>6</xdr:col>
      <xdr:colOff>0</xdr:colOff>
      <xdr:row>38</xdr:row>
      <xdr:rowOff>47625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00200" y="5257800"/>
          <a:ext cx="20574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Haylage, Small Grains,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Corn Silage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C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4</xdr:col>
      <xdr:colOff>190500</xdr:colOff>
      <xdr:row>26</xdr:row>
      <xdr:rowOff>47625</xdr:rowOff>
    </xdr:from>
    <xdr:to>
      <xdr:col>4</xdr:col>
      <xdr:colOff>190500</xdr:colOff>
      <xdr:row>30</xdr:row>
      <xdr:rowOff>9525</xdr:rowOff>
    </xdr:to>
    <xdr:sp>
      <xdr:nvSpPr>
        <xdr:cNvPr id="19" name="Line 17"/>
        <xdr:cNvSpPr>
          <a:spLocks/>
        </xdr:cNvSpPr>
      </xdr:nvSpPr>
      <xdr:spPr>
        <a:xfrm>
          <a:off x="2628900" y="4572000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35</xdr:row>
      <xdr:rowOff>47625</xdr:rowOff>
    </xdr:from>
    <xdr:to>
      <xdr:col>2</xdr:col>
      <xdr:colOff>228600</xdr:colOff>
      <xdr:row>42</xdr:row>
      <xdr:rowOff>38100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029325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9525</xdr:rowOff>
    </xdr:from>
    <xdr:to>
      <xdr:col>6</xdr:col>
      <xdr:colOff>800100</xdr:colOff>
      <xdr:row>3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9525</xdr:rowOff>
    </xdr:from>
    <xdr:to>
      <xdr:col>11</xdr:col>
      <xdr:colOff>876300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 topLeftCell="A1">
      <selection activeCell="A23" sqref="A23"/>
    </sheetView>
  </sheetViews>
  <sheetFormatPr defaultColWidth="9.140625" defaultRowHeight="12.75"/>
  <cols>
    <col min="1" max="10" width="9.7109375" style="0" customWidth="1"/>
  </cols>
  <sheetData>
    <row r="1" spans="1:10" ht="35.25">
      <c r="A1" s="72"/>
      <c r="B1" s="66"/>
      <c r="C1" s="66"/>
      <c r="D1" s="66"/>
      <c r="E1" s="73" t="s">
        <v>78</v>
      </c>
      <c r="F1" s="66"/>
      <c r="G1" s="73"/>
      <c r="H1" s="73"/>
      <c r="I1" s="73"/>
      <c r="J1" s="73"/>
    </row>
    <row r="2" spans="1:10" ht="12.75">
      <c r="A2" s="74"/>
      <c r="B2" s="75"/>
      <c r="C2" s="75"/>
      <c r="D2" s="75"/>
      <c r="E2" s="76"/>
      <c r="F2" s="75"/>
      <c r="G2" s="75"/>
      <c r="H2" s="75"/>
      <c r="I2" s="75"/>
      <c r="J2" s="75"/>
    </row>
    <row r="3" spans="1:10" ht="12.75">
      <c r="A3" s="77"/>
      <c r="B3" s="78" t="s">
        <v>79</v>
      </c>
      <c r="C3" s="66"/>
      <c r="D3" s="66"/>
      <c r="E3" s="66"/>
      <c r="F3" s="66"/>
      <c r="G3" s="66"/>
      <c r="H3" s="66"/>
      <c r="I3" s="66"/>
      <c r="J3" s="66"/>
    </row>
    <row r="4" spans="1:10" ht="12.75">
      <c r="A4" s="79"/>
      <c r="B4" s="78" t="s">
        <v>80</v>
      </c>
      <c r="C4" s="78"/>
      <c r="D4" s="78"/>
      <c r="E4" s="78"/>
      <c r="F4" s="78"/>
      <c r="G4" s="78"/>
      <c r="H4" s="78"/>
      <c r="I4" s="66"/>
      <c r="J4" s="66"/>
    </row>
    <row r="5" spans="1:10" ht="12.75">
      <c r="A5" s="79"/>
      <c r="B5" s="78" t="s">
        <v>81</v>
      </c>
      <c r="C5" s="78"/>
      <c r="D5" s="78"/>
      <c r="E5" s="78"/>
      <c r="F5" s="78"/>
      <c r="G5" s="78"/>
      <c r="H5" s="78"/>
      <c r="I5" s="66"/>
      <c r="J5" s="66"/>
    </row>
    <row r="6" spans="1:10" ht="12.75">
      <c r="A6" s="79"/>
      <c r="B6" s="78"/>
      <c r="C6" s="78"/>
      <c r="D6" s="78"/>
      <c r="E6" s="78"/>
      <c r="F6" s="78"/>
      <c r="G6" s="78"/>
      <c r="H6" s="78"/>
      <c r="I6" s="66"/>
      <c r="J6" s="66"/>
    </row>
    <row r="7" spans="1:10" ht="15">
      <c r="A7" s="79"/>
      <c r="B7" s="78" t="s">
        <v>86</v>
      </c>
      <c r="C7" s="78"/>
      <c r="D7" s="78"/>
      <c r="E7" s="78"/>
      <c r="F7" s="78"/>
      <c r="G7" s="78"/>
      <c r="H7" s="78"/>
      <c r="I7" s="66"/>
      <c r="J7" s="66"/>
    </row>
    <row r="8" spans="1:10" ht="12.75">
      <c r="A8" s="79"/>
      <c r="B8" s="78" t="s">
        <v>82</v>
      </c>
      <c r="C8" s="78"/>
      <c r="D8" s="78"/>
      <c r="E8" s="78"/>
      <c r="F8" s="78"/>
      <c r="G8" s="78"/>
      <c r="H8" s="78"/>
      <c r="I8" s="66"/>
      <c r="J8" s="66"/>
    </row>
    <row r="9" spans="1:10" ht="12.75">
      <c r="A9" s="79"/>
      <c r="B9" s="78"/>
      <c r="C9" s="78"/>
      <c r="D9" s="78"/>
      <c r="E9" s="78"/>
      <c r="F9" s="78"/>
      <c r="G9" s="78"/>
      <c r="H9" s="78"/>
      <c r="I9" s="66"/>
      <c r="J9" s="66"/>
    </row>
    <row r="10" spans="1:10" ht="12.75">
      <c r="A10" s="79"/>
      <c r="B10" s="82" t="s">
        <v>85</v>
      </c>
      <c r="C10" s="78"/>
      <c r="D10" s="78"/>
      <c r="E10" s="78"/>
      <c r="F10" s="78"/>
      <c r="G10" s="78"/>
      <c r="H10" s="78"/>
      <c r="I10" s="66"/>
      <c r="J10" s="66"/>
    </row>
    <row r="11" spans="1:10" ht="12.75">
      <c r="A11" s="79"/>
      <c r="B11" s="82" t="s">
        <v>88</v>
      </c>
      <c r="C11" s="78"/>
      <c r="D11" s="78"/>
      <c r="E11" s="78"/>
      <c r="F11" s="78"/>
      <c r="G11" s="78"/>
      <c r="H11" s="78"/>
      <c r="I11" s="66"/>
      <c r="J11" s="66"/>
    </row>
    <row r="12" spans="1:10" ht="12.75">
      <c r="A12" s="79"/>
      <c r="B12" s="82" t="s">
        <v>89</v>
      </c>
      <c r="C12" s="78"/>
      <c r="D12" s="78"/>
      <c r="E12" s="78"/>
      <c r="F12" s="78"/>
      <c r="G12" s="78"/>
      <c r="H12" s="78"/>
      <c r="I12" s="66"/>
      <c r="J12" s="66"/>
    </row>
    <row r="13" spans="1:10" ht="12.75">
      <c r="A13" s="79"/>
      <c r="B13" s="78"/>
      <c r="C13" s="78"/>
      <c r="D13" s="78"/>
      <c r="E13" s="78"/>
      <c r="F13" s="78"/>
      <c r="G13" s="78"/>
      <c r="H13" s="78"/>
      <c r="I13" s="66"/>
      <c r="J13" s="66"/>
    </row>
    <row r="14" spans="1:10" ht="15">
      <c r="A14" s="79"/>
      <c r="B14" s="78" t="s">
        <v>87</v>
      </c>
      <c r="C14" s="78"/>
      <c r="D14" s="78"/>
      <c r="E14" s="78"/>
      <c r="F14" s="78"/>
      <c r="G14" s="78"/>
      <c r="H14" s="78"/>
      <c r="I14" s="66"/>
      <c r="J14" s="66"/>
    </row>
    <row r="15" spans="1:10" ht="12.75">
      <c r="A15" s="79"/>
      <c r="B15" s="78" t="s">
        <v>83</v>
      </c>
      <c r="C15" s="78"/>
      <c r="D15" s="78"/>
      <c r="E15" s="78"/>
      <c r="F15" s="78"/>
      <c r="G15" s="78"/>
      <c r="H15" s="78"/>
      <c r="I15" s="66"/>
      <c r="J15" s="66"/>
    </row>
    <row r="16" spans="1:10" ht="12.75">
      <c r="A16" s="79"/>
      <c r="B16" s="78" t="s">
        <v>84</v>
      </c>
      <c r="C16" s="78"/>
      <c r="D16" s="78"/>
      <c r="E16" s="78"/>
      <c r="F16" s="78"/>
      <c r="G16" s="78"/>
      <c r="H16" s="78"/>
      <c r="I16" s="66"/>
      <c r="J16" s="66"/>
    </row>
    <row r="17" spans="1:10" ht="12.75">
      <c r="A17" s="79"/>
      <c r="B17" s="78"/>
      <c r="C17" s="78"/>
      <c r="D17" s="78"/>
      <c r="E17" s="78"/>
      <c r="F17" s="78"/>
      <c r="G17" s="78"/>
      <c r="H17" s="78"/>
      <c r="I17" s="66"/>
      <c r="J17" s="66"/>
    </row>
    <row r="18" spans="1:10" ht="12.75">
      <c r="A18" s="79"/>
      <c r="B18" s="78" t="s">
        <v>90</v>
      </c>
      <c r="C18" s="78"/>
      <c r="D18" s="78"/>
      <c r="E18" s="78"/>
      <c r="F18" s="78"/>
      <c r="G18" s="78"/>
      <c r="H18" s="78"/>
      <c r="I18" s="66"/>
      <c r="J18" s="66"/>
    </row>
    <row r="19" spans="1:10" ht="12.75">
      <c r="A19" s="79"/>
      <c r="B19" s="78" t="s">
        <v>91</v>
      </c>
      <c r="C19" s="78"/>
      <c r="D19" s="78"/>
      <c r="E19" s="78"/>
      <c r="F19" s="78"/>
      <c r="G19" s="78"/>
      <c r="H19" s="78"/>
      <c r="I19" s="66"/>
      <c r="J19" s="66"/>
    </row>
    <row r="20" spans="1:10" ht="12.75">
      <c r="A20" s="77"/>
      <c r="B20" s="78"/>
      <c r="C20" s="66"/>
      <c r="D20" s="66"/>
      <c r="E20" s="66"/>
      <c r="F20" s="66"/>
      <c r="G20" s="66"/>
      <c r="H20" s="66"/>
      <c r="I20" s="66"/>
      <c r="J20" s="66"/>
    </row>
    <row r="21" spans="1:10" ht="12.75">
      <c r="A21" s="80" t="s">
        <v>77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77"/>
      <c r="B22" s="66"/>
      <c r="C22" s="66"/>
      <c r="D22" s="66"/>
      <c r="E22" s="66"/>
      <c r="F22" s="66"/>
      <c r="G22" s="66"/>
      <c r="H22" s="66"/>
      <c r="I22" s="66"/>
      <c r="J22" s="66"/>
    </row>
  </sheetData>
  <sheetProtection password="CFF1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showGridLines="0" showRowColHeaders="0" workbookViewId="0" topLeftCell="A1">
      <selection activeCell="C14" sqref="C14"/>
    </sheetView>
  </sheetViews>
  <sheetFormatPr defaultColWidth="9.140625" defaultRowHeight="12.75"/>
  <sheetData>
    <row r="1" spans="1:15" ht="37.5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</sheetData>
  <sheetProtection password="CF95" sheet="1" objects="1" scenarios="1"/>
  <mergeCells count="1">
    <mergeCell ref="A1:O1"/>
  </mergeCells>
  <printOptions/>
  <pageMargins left="0.75" right="0.75" top="1" bottom="1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8"/>
  <sheetViews>
    <sheetView showGridLines="0" showRowColHeaders="0" workbookViewId="0" topLeftCell="A1">
      <selection activeCell="E5" sqref="E5:G5"/>
    </sheetView>
  </sheetViews>
  <sheetFormatPr defaultColWidth="9.140625" defaultRowHeight="12.75"/>
  <cols>
    <col min="1" max="1" width="30.57421875" style="15" customWidth="1"/>
    <col min="2" max="2" width="2.140625" style="15" customWidth="1"/>
    <col min="3" max="3" width="11.140625" style="15" customWidth="1"/>
    <col min="4" max="4" width="12.28125" style="15" customWidth="1"/>
    <col min="5" max="5" width="19.421875" style="15" customWidth="1"/>
    <col min="6" max="6" width="11.7109375" style="15" customWidth="1"/>
    <col min="7" max="7" width="12.57421875" style="15" customWidth="1"/>
    <col min="8" max="8" width="13.28125" style="15" customWidth="1"/>
    <col min="9" max="14" width="9.140625" style="15" customWidth="1"/>
    <col min="15" max="15" width="9.7109375" style="15" bestFit="1" customWidth="1"/>
    <col min="16" max="16" width="9.28125" style="15" customWidth="1"/>
    <col min="17" max="17" width="9.140625" style="15" hidden="1" customWidth="1"/>
    <col min="18" max="16384" width="9.140625" style="15" customWidth="1"/>
  </cols>
  <sheetData>
    <row r="1" ht="12.75"/>
    <row r="2" ht="12.75"/>
    <row r="3" spans="1:10" ht="20.25">
      <c r="A3" s="16" t="s">
        <v>0</v>
      </c>
      <c r="J3" s="48" t="s">
        <v>68</v>
      </c>
    </row>
    <row r="4" ht="12.75"/>
    <row r="5" spans="3:8" ht="12.75">
      <c r="C5" s="18"/>
      <c r="D5" s="49" t="s">
        <v>65</v>
      </c>
      <c r="E5" s="89" t="s">
        <v>69</v>
      </c>
      <c r="F5" s="89"/>
      <c r="G5" s="89"/>
      <c r="H5" s="58"/>
    </row>
    <row r="6" spans="1:15" ht="12.75">
      <c r="A6" s="18"/>
      <c r="C6" s="88" t="s">
        <v>67</v>
      </c>
      <c r="D6" s="88"/>
      <c r="E6" s="90" t="s">
        <v>70</v>
      </c>
      <c r="F6" s="90"/>
      <c r="G6" s="90"/>
      <c r="O6" s="17" t="s">
        <v>18</v>
      </c>
    </row>
    <row r="7" spans="3:15" ht="12.75">
      <c r="C7" s="18"/>
      <c r="D7" s="49" t="s">
        <v>66</v>
      </c>
      <c r="E7" s="64">
        <v>39692</v>
      </c>
      <c r="J7" s="18" t="s">
        <v>51</v>
      </c>
      <c r="O7" s="55">
        <v>16000</v>
      </c>
    </row>
    <row r="8" spans="5:15" ht="12.75">
      <c r="E8" s="58"/>
      <c r="J8" s="18" t="s">
        <v>19</v>
      </c>
      <c r="O8" s="12">
        <v>60</v>
      </c>
    </row>
    <row r="9" spans="4:15" ht="12.75">
      <c r="D9" s="15" t="s">
        <v>1</v>
      </c>
      <c r="G9" s="15" t="s">
        <v>2</v>
      </c>
      <c r="J9" s="18" t="s">
        <v>20</v>
      </c>
      <c r="O9" s="56">
        <v>0.08</v>
      </c>
    </row>
    <row r="10" spans="1:15" ht="12.75">
      <c r="A10" s="15" t="s">
        <v>23</v>
      </c>
      <c r="C10" s="10">
        <v>4.5</v>
      </c>
      <c r="E10" s="15" t="s">
        <v>30</v>
      </c>
      <c r="H10" s="15" t="s">
        <v>30</v>
      </c>
      <c r="J10" s="18" t="s">
        <v>21</v>
      </c>
      <c r="O10" s="14">
        <f>IF(O8=0,0,PMT(O9/12,O8,O7,0,0))</f>
        <v>-324.4223086146211</v>
      </c>
    </row>
    <row r="11" spans="1:17" ht="12.75">
      <c r="A11" s="15" t="s">
        <v>25</v>
      </c>
      <c r="C11" s="19"/>
      <c r="D11" s="50">
        <v>24</v>
      </c>
      <c r="E11" s="20">
        <f>56*0.85/(1-D11%)</f>
        <v>62.631578947368425</v>
      </c>
      <c r="F11" s="20"/>
      <c r="G11" s="12">
        <v>30</v>
      </c>
      <c r="H11" s="20">
        <f>56*0.85/(1-G11%)</f>
        <v>68</v>
      </c>
      <c r="J11" s="18" t="s">
        <v>46</v>
      </c>
      <c r="O11" s="14">
        <f>O10*12/C39</f>
        <v>-0.07786135406750906</v>
      </c>
      <c r="Q11" s="60">
        <f>ABS(O11)</f>
        <v>0.07786135406750906</v>
      </c>
    </row>
    <row r="12" spans="1:15" ht="12.75">
      <c r="A12" s="15" t="s">
        <v>26</v>
      </c>
      <c r="C12" s="19"/>
      <c r="D12" s="12">
        <v>15</v>
      </c>
      <c r="E12" s="20">
        <f>56*0.85/(1-D12%)</f>
        <v>56</v>
      </c>
      <c r="F12" s="20"/>
      <c r="G12" s="21"/>
      <c r="H12" s="20"/>
      <c r="J12" s="18"/>
      <c r="O12" s="8"/>
    </row>
    <row r="13" spans="1:16" ht="12.75">
      <c r="A13" s="15" t="s">
        <v>72</v>
      </c>
      <c r="C13" s="19"/>
      <c r="D13" s="61">
        <f>C10/85*(100-D11)/56*2000</f>
        <v>143.69747899159663</v>
      </c>
      <c r="G13" s="61">
        <f>C10/85*(100-G11)/56*2000</f>
        <v>132.35294117647058</v>
      </c>
      <c r="J13" s="18" t="s">
        <v>44</v>
      </c>
      <c r="O13" s="55">
        <v>35000</v>
      </c>
      <c r="P13" s="8"/>
    </row>
    <row r="14" spans="3:15" ht="12.75">
      <c r="C14" s="19"/>
      <c r="D14" s="21"/>
      <c r="G14" s="21"/>
      <c r="J14" s="18" t="s">
        <v>19</v>
      </c>
      <c r="O14" s="12">
        <v>84</v>
      </c>
    </row>
    <row r="15" spans="1:15" ht="12.75">
      <c r="A15" s="15" t="s">
        <v>27</v>
      </c>
      <c r="D15" s="10">
        <v>2.5</v>
      </c>
      <c r="G15" s="10">
        <v>2.5</v>
      </c>
      <c r="J15" s="18" t="s">
        <v>20</v>
      </c>
      <c r="O15" s="56">
        <v>0.07</v>
      </c>
    </row>
    <row r="16" spans="1:15" ht="12.75">
      <c r="A16" s="15" t="s">
        <v>33</v>
      </c>
      <c r="D16" s="51">
        <v>1000</v>
      </c>
      <c r="G16" s="54">
        <v>1000</v>
      </c>
      <c r="J16" s="18" t="s">
        <v>21</v>
      </c>
      <c r="O16" s="14">
        <f>IF(O14=0,0,PMT(O15/12,O14,O13,0,0))</f>
        <v>-528.2437993766275</v>
      </c>
    </row>
    <row r="17" spans="1:15" ht="12.75">
      <c r="A17" s="15" t="s">
        <v>28</v>
      </c>
      <c r="D17" s="51">
        <v>25</v>
      </c>
      <c r="G17" s="51">
        <v>6</v>
      </c>
      <c r="J17" s="18" t="s">
        <v>45</v>
      </c>
      <c r="O17" s="38">
        <v>0.3</v>
      </c>
    </row>
    <row r="18" spans="1:17" ht="12.75">
      <c r="A18" s="22" t="s">
        <v>29</v>
      </c>
      <c r="D18" s="23">
        <f>D15*D17/D16</f>
        <v>0.0625</v>
      </c>
      <c r="E18" s="24"/>
      <c r="F18" s="24"/>
      <c r="G18" s="23">
        <f>G15*G17/G16</f>
        <v>0.015</v>
      </c>
      <c r="J18" s="18" t="s">
        <v>47</v>
      </c>
      <c r="O18" s="14">
        <f>O16*12*O17/C39</f>
        <v>-0.03803355355511718</v>
      </c>
      <c r="Q18" s="59">
        <f>ABS(O18)</f>
        <v>0.03803355355511718</v>
      </c>
    </row>
    <row r="19" spans="1:15" ht="12.75">
      <c r="A19" s="22"/>
      <c r="D19" s="25"/>
      <c r="G19" s="25"/>
      <c r="J19" s="18" t="s">
        <v>52</v>
      </c>
      <c r="O19" s="39">
        <v>0</v>
      </c>
    </row>
    <row r="20" spans="1:17" ht="12.75">
      <c r="A20" s="22" t="s">
        <v>39</v>
      </c>
      <c r="C20" s="10">
        <v>0.04</v>
      </c>
      <c r="D20" s="26">
        <f>(D11-D12)*C20</f>
        <v>0.36</v>
      </c>
      <c r="G20" s="27" t="s">
        <v>31</v>
      </c>
      <c r="J20" s="18" t="s">
        <v>47</v>
      </c>
      <c r="O20" s="8">
        <f>O19/C39</f>
        <v>0</v>
      </c>
      <c r="Q20" s="15">
        <f>ABS(O20)</f>
        <v>0</v>
      </c>
    </row>
    <row r="21" spans="1:15" ht="12.75">
      <c r="A21" s="22"/>
      <c r="D21" s="28"/>
      <c r="G21" s="28"/>
      <c r="J21" s="18"/>
      <c r="O21" s="29"/>
    </row>
    <row r="22" spans="1:15" ht="12.75">
      <c r="A22" s="22" t="s">
        <v>40</v>
      </c>
      <c r="C22" s="10">
        <v>0.03</v>
      </c>
      <c r="D22" s="26">
        <f>C22*6</f>
        <v>0.18</v>
      </c>
      <c r="G22" s="9">
        <v>0.07</v>
      </c>
      <c r="J22" s="18" t="s">
        <v>53</v>
      </c>
      <c r="O22" s="11">
        <v>0</v>
      </c>
    </row>
    <row r="23" spans="1:15" ht="12.75">
      <c r="A23" s="22" t="s">
        <v>41</v>
      </c>
      <c r="D23" s="28"/>
      <c r="G23" s="28"/>
      <c r="J23" s="18" t="s">
        <v>19</v>
      </c>
      <c r="O23" s="51">
        <v>60</v>
      </c>
    </row>
    <row r="24" spans="1:15" ht="12.75">
      <c r="A24" s="22" t="s">
        <v>42</v>
      </c>
      <c r="C24" s="10">
        <v>12</v>
      </c>
      <c r="D24" s="26">
        <f>C24/2000*56</f>
        <v>0.336</v>
      </c>
      <c r="G24" s="28"/>
      <c r="J24" s="18" t="s">
        <v>20</v>
      </c>
      <c r="O24" s="56">
        <v>0.08</v>
      </c>
    </row>
    <row r="25" spans="1:15" ht="12.75">
      <c r="A25" s="22" t="s">
        <v>43</v>
      </c>
      <c r="C25" s="52">
        <v>5</v>
      </c>
      <c r="D25" s="26">
        <f>C25/2000*56</f>
        <v>0.14</v>
      </c>
      <c r="G25" s="28"/>
      <c r="J25" s="18" t="s">
        <v>21</v>
      </c>
      <c r="O25" s="14">
        <f>IF(O23=0,0,PMT(O24/12,O23,O22,0,0))</f>
        <v>0</v>
      </c>
    </row>
    <row r="26" spans="1:15" ht="12.75">
      <c r="A26" s="22" t="s">
        <v>73</v>
      </c>
      <c r="C26" s="71">
        <v>0.01</v>
      </c>
      <c r="D26" s="26">
        <f>C26*C10</f>
        <v>0.045</v>
      </c>
      <c r="F26" s="86">
        <v>0.02</v>
      </c>
      <c r="G26" s="67">
        <f>F26*C10</f>
        <v>0.09</v>
      </c>
      <c r="J26" s="18" t="s">
        <v>54</v>
      </c>
      <c r="O26" s="38">
        <v>0</v>
      </c>
    </row>
    <row r="27" spans="1:17" ht="12.75">
      <c r="A27" s="22"/>
      <c r="C27" s="21"/>
      <c r="D27" s="28"/>
      <c r="G27" s="28"/>
      <c r="J27" s="18" t="s">
        <v>46</v>
      </c>
      <c r="O27" s="14">
        <f>O25*12*O26/C39</f>
        <v>0</v>
      </c>
      <c r="Q27" s="59">
        <f>ABS(O27)</f>
        <v>0</v>
      </c>
    </row>
    <row r="28" spans="1:15" ht="12.75">
      <c r="A28" s="22" t="s">
        <v>24</v>
      </c>
      <c r="C28" s="21"/>
      <c r="D28" s="28"/>
      <c r="G28" s="30">
        <f>O39</f>
        <v>0.44658721531493395</v>
      </c>
      <c r="H28" s="31"/>
      <c r="J28" s="18"/>
      <c r="O28" s="8"/>
    </row>
    <row r="29" spans="1:10" ht="12.75">
      <c r="A29" s="22" t="s">
        <v>56</v>
      </c>
      <c r="C29" s="21"/>
      <c r="D29" s="28"/>
      <c r="G29" s="26">
        <f>O44</f>
        <v>0.018461538461538463</v>
      </c>
      <c r="J29" s="17" t="s">
        <v>35</v>
      </c>
    </row>
    <row r="30" spans="1:15" ht="12.75">
      <c r="A30" s="22" t="s">
        <v>74</v>
      </c>
      <c r="C30" s="21"/>
      <c r="D30" s="28"/>
      <c r="F30" s="86">
        <v>0.04</v>
      </c>
      <c r="G30" s="26">
        <f>F30*C10</f>
        <v>0.18</v>
      </c>
      <c r="J30" s="18" t="s">
        <v>93</v>
      </c>
      <c r="O30" s="57">
        <v>4.5</v>
      </c>
    </row>
    <row r="31" spans="1:15" ht="12.75">
      <c r="A31" s="22" t="s">
        <v>96</v>
      </c>
      <c r="D31" s="32"/>
      <c r="G31" s="26">
        <f>O48</f>
        <v>0.05304</v>
      </c>
      <c r="J31" s="18" t="s">
        <v>92</v>
      </c>
      <c r="O31" s="12">
        <v>1300</v>
      </c>
    </row>
    <row r="32" spans="1:15" ht="12.75">
      <c r="A32" s="22"/>
      <c r="D32" s="32"/>
      <c r="G32" s="70"/>
      <c r="J32" s="18" t="s">
        <v>48</v>
      </c>
      <c r="O32" s="51">
        <v>12</v>
      </c>
    </row>
    <row r="33" spans="1:15" ht="12.75">
      <c r="A33" s="69" t="s">
        <v>22</v>
      </c>
      <c r="D33" s="32"/>
      <c r="G33" s="25"/>
      <c r="J33" s="18" t="s">
        <v>36</v>
      </c>
      <c r="O33" s="54">
        <v>3</v>
      </c>
    </row>
    <row r="34" spans="1:15" ht="12.75">
      <c r="A34" s="22" t="s">
        <v>94</v>
      </c>
      <c r="D34" s="32"/>
      <c r="G34" s="53">
        <v>0.05</v>
      </c>
      <c r="J34" s="18" t="s">
        <v>37</v>
      </c>
      <c r="O34" s="54">
        <v>0.19</v>
      </c>
    </row>
    <row r="35" spans="1:15" ht="12.75">
      <c r="A35" s="22" t="s">
        <v>95</v>
      </c>
      <c r="D35" s="32"/>
      <c r="G35" s="63"/>
      <c r="J35" s="18" t="s">
        <v>38</v>
      </c>
      <c r="O35" s="12">
        <v>470</v>
      </c>
    </row>
    <row r="36" spans="10:17" ht="12.75">
      <c r="J36" s="18" t="s">
        <v>49</v>
      </c>
      <c r="O36" s="37">
        <f>O33*O32*(C39/O31)*O30/C39</f>
        <v>0.12461538461538461</v>
      </c>
      <c r="Q36" s="59">
        <f>ABS(O36)</f>
        <v>0.12461538461538461</v>
      </c>
    </row>
    <row r="37" spans="1:17" ht="12.75">
      <c r="A37" s="33"/>
      <c r="B37" s="34"/>
      <c r="C37" s="34"/>
      <c r="D37" s="35"/>
      <c r="E37" s="34"/>
      <c r="F37" s="34"/>
      <c r="G37" s="35"/>
      <c r="J37" s="18" t="s">
        <v>50</v>
      </c>
      <c r="O37" s="13">
        <f>(C39/O31)*O33*O35*O34/C39</f>
        <v>0.20607692307692307</v>
      </c>
      <c r="Q37" s="59">
        <f>ABS(O37)</f>
        <v>0.20607692307692307</v>
      </c>
    </row>
    <row r="38" spans="1:17" ht="12.75">
      <c r="A38" s="65" t="s">
        <v>71</v>
      </c>
      <c r="D38" s="67">
        <f>SUM(D18:D37)</f>
        <v>1.1235</v>
      </c>
      <c r="G38" s="67">
        <f>SUM(G18:G37)</f>
        <v>0.9230887537764725</v>
      </c>
      <c r="J38" s="18"/>
      <c r="Q38" s="59"/>
    </row>
    <row r="39" spans="1:17" ht="12.75">
      <c r="A39" s="22" t="s">
        <v>32</v>
      </c>
      <c r="C39" s="62">
        <v>50000</v>
      </c>
      <c r="J39" s="18" t="s">
        <v>55</v>
      </c>
      <c r="O39" s="31">
        <f>Q39</f>
        <v>0.44658721531493395</v>
      </c>
      <c r="Q39" s="59">
        <f>SUM(Q11:Q37)</f>
        <v>0.44658721531493395</v>
      </c>
    </row>
    <row r="40" spans="1:10" ht="12.75">
      <c r="A40" s="22" t="s">
        <v>75</v>
      </c>
      <c r="D40" s="68">
        <f>D38*C39</f>
        <v>56175</v>
      </c>
      <c r="G40" s="68">
        <f>G38*C39</f>
        <v>46154.43768882362</v>
      </c>
      <c r="J40" s="18"/>
    </row>
    <row r="41" spans="1:10" ht="12.75">
      <c r="A41" s="22"/>
      <c r="J41" s="17" t="s">
        <v>56</v>
      </c>
    </row>
    <row r="42" spans="1:15" ht="12.75">
      <c r="A42" s="22" t="s">
        <v>76</v>
      </c>
      <c r="D42" s="61">
        <f>C10+D38</f>
        <v>5.6235</v>
      </c>
      <c r="G42" s="61">
        <f>C10+G38</f>
        <v>5.423088753776472</v>
      </c>
      <c r="J42" s="18" t="s">
        <v>57</v>
      </c>
      <c r="O42" s="12">
        <v>2</v>
      </c>
    </row>
    <row r="43" spans="1:15" ht="12.75">
      <c r="A43" s="22"/>
      <c r="J43" s="18" t="s">
        <v>58</v>
      </c>
      <c r="O43" s="52">
        <v>12</v>
      </c>
    </row>
    <row r="44" spans="1:15" ht="15.75">
      <c r="A44" s="22" t="s">
        <v>97</v>
      </c>
      <c r="E44" s="36">
        <f>D40-G40</f>
        <v>10020.562311176378</v>
      </c>
      <c r="J44" s="18" t="s">
        <v>59</v>
      </c>
      <c r="O44" s="13">
        <f>C39/O31*O42*O43/C39</f>
        <v>0.018461538461538463</v>
      </c>
    </row>
    <row r="45" spans="1:10" ht="15.75">
      <c r="A45" s="22" t="s">
        <v>98</v>
      </c>
      <c r="E45" s="36">
        <f>E44/C39</f>
        <v>0.20041124622352757</v>
      </c>
      <c r="J45" s="18"/>
    </row>
    <row r="46" ht="12.75">
      <c r="J46" s="18" t="s">
        <v>60</v>
      </c>
    </row>
    <row r="47" spans="1:15" ht="12.75">
      <c r="A47" s="83" t="s">
        <v>77</v>
      </c>
      <c r="J47" s="18" t="s">
        <v>61</v>
      </c>
      <c r="O47" s="12">
        <v>1.56</v>
      </c>
    </row>
    <row r="48" spans="10:15" ht="12.75">
      <c r="J48" s="18" t="s">
        <v>62</v>
      </c>
      <c r="O48" s="13">
        <f>O47/2000*H11</f>
        <v>0.05304</v>
      </c>
    </row>
  </sheetData>
  <sheetProtection password="CF95" sheet="1" objects="1" scenarios="1"/>
  <mergeCells count="3">
    <mergeCell ref="C6:D6"/>
    <mergeCell ref="E5:G5"/>
    <mergeCell ref="E6:G6"/>
  </mergeCells>
  <printOptions horizontalCentered="1"/>
  <pageMargins left="0.25" right="0.25" top="1" bottom="1" header="0.5" footer="0.5"/>
  <pageSetup horizontalDpi="300" verticalDpi="300" orientation="portrait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showGridLines="0" showRowColHeaders="0" workbookViewId="0" topLeftCell="A1">
      <selection activeCell="B5" sqref="B5:E5"/>
    </sheetView>
  </sheetViews>
  <sheetFormatPr defaultColWidth="9.140625" defaultRowHeight="12.75"/>
  <cols>
    <col min="1" max="1" width="15.8515625" style="15" customWidth="1"/>
    <col min="2" max="2" width="9.140625" style="15" customWidth="1"/>
    <col min="3" max="3" width="13.421875" style="15" customWidth="1"/>
    <col min="4" max="4" width="11.140625" style="15" customWidth="1"/>
    <col min="5" max="10" width="9.140625" style="15" customWidth="1"/>
    <col min="11" max="11" width="11.28125" style="15" customWidth="1"/>
    <col min="12" max="12" width="15.7109375" style="15" customWidth="1"/>
    <col min="13" max="16384" width="9.140625" style="15" customWidth="1"/>
  </cols>
  <sheetData>
    <row r="1" ht="12.75"/>
    <row r="2" spans="4:10" ht="12.75">
      <c r="D2" s="91" t="s">
        <v>64</v>
      </c>
      <c r="E2" s="91"/>
      <c r="F2" s="91"/>
      <c r="G2" s="91"/>
      <c r="H2" s="91"/>
      <c r="I2" s="91"/>
      <c r="J2" s="91"/>
    </row>
    <row r="3" spans="4:10" ht="12.75">
      <c r="D3" s="91"/>
      <c r="E3" s="91"/>
      <c r="F3" s="91"/>
      <c r="G3" s="91"/>
      <c r="H3" s="91"/>
      <c r="I3" s="91"/>
      <c r="J3" s="91"/>
    </row>
    <row r="4" ht="12.75"/>
    <row r="5" spans="1:12" ht="12.75">
      <c r="A5" s="85" t="s">
        <v>65</v>
      </c>
      <c r="B5" s="92" t="s">
        <v>69</v>
      </c>
      <c r="C5" s="92"/>
      <c r="D5" s="92"/>
      <c r="E5" s="92"/>
      <c r="F5" s="84" t="s">
        <v>67</v>
      </c>
      <c r="H5" s="93" t="s">
        <v>70</v>
      </c>
      <c r="I5" s="93"/>
      <c r="J5" s="93"/>
      <c r="K5" s="40" t="s">
        <v>66</v>
      </c>
      <c r="L5" s="41">
        <v>39692</v>
      </c>
    </row>
    <row r="6" ht="12.75"/>
    <row r="7" spans="1:14" ht="63.75">
      <c r="A7" s="1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63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3" t="s">
        <v>15</v>
      </c>
    </row>
    <row r="8" spans="1:14" ht="12.75">
      <c r="A8" s="47" t="s">
        <v>16</v>
      </c>
      <c r="B8" s="46">
        <v>8000</v>
      </c>
      <c r="C8" s="42">
        <v>0.1</v>
      </c>
      <c r="D8" s="4" t="str">
        <f>IF(C8&gt;0,B8*C8&amp;" tons"," ")</f>
        <v>800 tons</v>
      </c>
      <c r="E8" s="45">
        <v>45</v>
      </c>
      <c r="F8" s="5">
        <f>IF(E8&gt;0,(B8*C8)*E8,"")</f>
        <v>36000</v>
      </c>
      <c r="G8" s="44">
        <v>20</v>
      </c>
      <c r="H8" s="6">
        <f>IF(G8&gt;0,B8/G8,"")</f>
        <v>400</v>
      </c>
      <c r="I8" s="43">
        <v>0.55</v>
      </c>
      <c r="J8" s="5">
        <f>IF(I8&gt;0,B8*I8,"")</f>
        <v>4400</v>
      </c>
      <c r="K8" s="42">
        <v>0.04</v>
      </c>
      <c r="L8" s="7" t="str">
        <f>IF(K8&gt;0,B8*K8&amp;" tons","")</f>
        <v>320 tons</v>
      </c>
      <c r="M8" s="5">
        <f>IF(L8="","",B8*K8*E8)</f>
        <v>14400</v>
      </c>
      <c r="N8" s="5">
        <f>IF(M8="","",M8-J8)</f>
        <v>10000</v>
      </c>
    </row>
    <row r="9" spans="1:14" ht="12.75">
      <c r="A9" s="47" t="s">
        <v>17</v>
      </c>
      <c r="B9" s="46"/>
      <c r="C9" s="42"/>
      <c r="D9" s="4" t="str">
        <f>IF(C9&gt;0,B9*C9&amp;" tons"," ")</f>
        <v> </v>
      </c>
      <c r="E9" s="45"/>
      <c r="F9" s="5">
        <f>IF(E9&gt;0,(B9*C9)*E9,"")</f>
      </c>
      <c r="G9" s="44"/>
      <c r="H9" s="6">
        <f>IF(G9&gt;0,B9/G9,"")</f>
      </c>
      <c r="I9" s="43"/>
      <c r="J9" s="5">
        <f>IF(I9&gt;0,B9*I9,"")</f>
      </c>
      <c r="K9" s="42"/>
      <c r="L9" s="7">
        <f>IF(K9&gt;0,B9*K9&amp;" tons","")</f>
      </c>
      <c r="M9" s="5">
        <f>IF(L9="","",B9*K9*E9)</f>
      </c>
      <c r="N9" s="5">
        <f>IF(M9="","",M9-J9)</f>
      </c>
    </row>
    <row r="10" spans="1:14" ht="12.75">
      <c r="A10" s="47" t="s">
        <v>17</v>
      </c>
      <c r="B10" s="46"/>
      <c r="C10" s="42"/>
      <c r="D10" s="4" t="str">
        <f>IF(C10&gt;0,B10*C10&amp;" tons"," ")</f>
        <v> </v>
      </c>
      <c r="E10" s="45"/>
      <c r="F10" s="5">
        <f>IF(E10&gt;0,(B10*C10)*E10,"")</f>
      </c>
      <c r="G10" s="44"/>
      <c r="H10" s="6">
        <f>IF(G10&gt;0,B10/G10,"")</f>
      </c>
      <c r="I10" s="43"/>
      <c r="J10" s="5">
        <f>IF(I10&gt;0,B10*I10,"")</f>
      </c>
      <c r="K10" s="42"/>
      <c r="L10" s="7">
        <f>IF(K10&gt;0,B10*K10&amp;" tons","")</f>
      </c>
      <c r="M10" s="5">
        <f>IF(L10="","",B10*K10*E10)</f>
      </c>
      <c r="N10" s="5">
        <f>IF(M10="","",M10-J10)</f>
      </c>
    </row>
    <row r="11" spans="1:14" ht="12.75">
      <c r="A11" s="47" t="s">
        <v>17</v>
      </c>
      <c r="B11" s="46"/>
      <c r="C11" s="42"/>
      <c r="D11" s="4" t="str">
        <f>IF(C11&gt;0,B11*C11&amp;" tons"," ")</f>
        <v> </v>
      </c>
      <c r="E11" s="45"/>
      <c r="F11" s="5">
        <f>IF(E11&gt;0,(B11*C11)*E11,"")</f>
      </c>
      <c r="G11" s="44"/>
      <c r="H11" s="6">
        <f>IF(G11&gt;0,B11/G11,"")</f>
      </c>
      <c r="I11" s="43"/>
      <c r="J11" s="5">
        <f>IF(I11&gt;0,B11*I11,"")</f>
      </c>
      <c r="K11" s="42"/>
      <c r="L11" s="7">
        <f>IF(K11&gt;0,B11*K11&amp;" tons","")</f>
      </c>
      <c r="M11" s="5">
        <f>IF(L11="","",B11*K11*E11)</f>
      </c>
      <c r="N11" s="5">
        <f>IF(M11="","",M11-J11)</f>
      </c>
    </row>
    <row r="12" spans="1:14" ht="12.75">
      <c r="A12" s="47" t="s">
        <v>17</v>
      </c>
      <c r="B12" s="46"/>
      <c r="C12" s="42"/>
      <c r="D12" s="4" t="str">
        <f>IF(C12&gt;0,B12*C12&amp;" tons"," ")</f>
        <v> </v>
      </c>
      <c r="E12" s="45"/>
      <c r="F12" s="5">
        <f>IF(E12&gt;0,(B12*C12)*E12,"")</f>
      </c>
      <c r="G12" s="44"/>
      <c r="H12" s="6">
        <f>IF(G12&gt;0,B12/G12,"")</f>
      </c>
      <c r="I12" s="43"/>
      <c r="J12" s="5">
        <f>IF(I12&gt;0,B12*I12,"")</f>
      </c>
      <c r="K12" s="42"/>
      <c r="L12" s="7">
        <f>IF(K12&gt;0,B12*K12&amp;" tons","")</f>
      </c>
      <c r="M12" s="5">
        <f>IF(L12="","",B12*K12*E12)</f>
      </c>
      <c r="N12" s="5">
        <f>IF(M12="","",M12-J12)</f>
      </c>
    </row>
    <row r="15" ht="12.75">
      <c r="A15" s="83" t="s">
        <v>77</v>
      </c>
    </row>
  </sheetData>
  <sheetProtection password="CF95" sheet="1" objects="1" scenarios="1"/>
  <mergeCells count="3">
    <mergeCell ref="D2:J3"/>
    <mergeCell ref="B5:E5"/>
    <mergeCell ref="H5:J5"/>
  </mergeCells>
  <printOptions/>
  <pageMargins left="0.75" right="0.75" top="1" bottom="1" header="0.5" footer="0.5"/>
  <pageSetup horizontalDpi="600" verticalDpi="600" orientation="landscape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 Plus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Inoculant Decision Maker v09-08</dc:title>
  <dc:subject/>
  <dc:creator/>
  <cp:keywords/>
  <dc:description/>
  <cp:lastModifiedBy>vp</cp:lastModifiedBy>
  <cp:lastPrinted>2008-09-15T01:08:52Z</cp:lastPrinted>
  <dcterms:created xsi:type="dcterms:W3CDTF">2006-08-30T15:09:13Z</dcterms:created>
  <dcterms:modified xsi:type="dcterms:W3CDTF">2008-09-30T15:38:33Z</dcterms:modified>
  <cp:category/>
  <cp:version/>
  <cp:contentType/>
  <cp:contentStatus/>
</cp:coreProperties>
</file>