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000" windowHeight="6195" activeTab="1"/>
  </bookViews>
  <sheets>
    <sheet name="Introduction" sheetId="1" r:id="rId1"/>
    <sheet name="Pricing STANDING Corn Silage" sheetId="2" r:id="rId2"/>
    <sheet name="Pricing HARVESTED Corn Silage" sheetId="3" r:id="rId3"/>
    <sheet name="Yield Estimate" sheetId="4" r:id="rId4"/>
  </sheets>
  <definedNames/>
  <calcPr fullCalcOnLoad="1"/>
</workbook>
</file>

<file path=xl/sharedStrings.xml><?xml version="1.0" encoding="utf-8"?>
<sst xmlns="http://schemas.openxmlformats.org/spreadsheetml/2006/main" count="231" uniqueCount="121">
  <si>
    <t>Fertilizer Value of Harvested Stover</t>
  </si>
  <si>
    <t>Buyer</t>
  </si>
  <si>
    <t>Seller</t>
  </si>
  <si>
    <t>Silage Base Price Estimate (per ton DM)</t>
  </si>
  <si>
    <t>Gross Value of Corn Crop/Acre</t>
  </si>
  <si>
    <t xml:space="preserve">     $/Bushel</t>
  </si>
  <si>
    <t>Combining Cost/Acre</t>
  </si>
  <si>
    <t xml:space="preserve">     Storage Length (months)</t>
  </si>
  <si>
    <t xml:space="preserve">     $/Bushel/month</t>
  </si>
  <si>
    <t xml:space="preserve">     % Loss</t>
  </si>
  <si>
    <t>Total Harvest Costs/Acre</t>
  </si>
  <si>
    <t>Total Harvest Costs for Buyer/Acre</t>
  </si>
  <si>
    <t xml:space="preserve">     Pounds P205/Ton Dry Matter (from publication A2809)</t>
  </si>
  <si>
    <t xml:space="preserve">     Pounds K20/Ton Dry Matter (from publication A2809)</t>
  </si>
  <si>
    <t xml:space="preserve">Corn Silage Pricing Decision Aid </t>
  </si>
  <si>
    <t>c</t>
  </si>
  <si>
    <t>b</t>
  </si>
  <si>
    <t>a</t>
  </si>
  <si>
    <t>Tons DM</t>
  </si>
  <si>
    <t>Tons As Fed</t>
  </si>
  <si>
    <t>% DM</t>
  </si>
  <si>
    <t>Value of Corn Silage to Seller on a $/ton wet basis</t>
  </si>
  <si>
    <t xml:space="preserve">     % Starch (DM basis)</t>
  </si>
  <si>
    <t xml:space="preserve">     Local Corn Price/Bushel</t>
  </si>
  <si>
    <t xml:space="preserve">     Milk Price/Cwt</t>
  </si>
  <si>
    <t>Value/Ton of Silage (Wet Basis)</t>
  </si>
  <si>
    <t>Value/Ton of Silage (Dry Matter)</t>
  </si>
  <si>
    <t>Price Perspective</t>
  </si>
  <si>
    <t>Phosphorus Value</t>
  </si>
  <si>
    <t>Potassium Value</t>
  </si>
  <si>
    <t>Quality Adjustment (per ton DM)</t>
  </si>
  <si>
    <t>Local Market Price for No.2 Corn at 15.5% moisture as Buyer or Seller</t>
  </si>
  <si>
    <t>Silage % DM</t>
  </si>
  <si>
    <t xml:space="preserve">Value of Standing Corn Silage ($/ton wet basis) </t>
  </si>
  <si>
    <t>Value of Standing Corn for Silage ($/ton DM)</t>
  </si>
  <si>
    <t>Total Value of Corn Silage to Seller Including</t>
  </si>
  <si>
    <t>Fertilizer Value of Harvested Stover/Acre (Minimum Value to Accept)</t>
  </si>
  <si>
    <t>Chopping $/Acre</t>
  </si>
  <si>
    <t>Hauling $/Acre</t>
  </si>
  <si>
    <t>Total Stover Value/Acre</t>
  </si>
  <si>
    <t>Concrete tower</t>
  </si>
  <si>
    <t>Type of Storage</t>
  </si>
  <si>
    <t>% loss</t>
  </si>
  <si>
    <t>Oxygen limiting tower</t>
  </si>
  <si>
    <t>Bunker</t>
  </si>
  <si>
    <t>Packed pile</t>
  </si>
  <si>
    <t>Bagged</t>
  </si>
  <si>
    <t xml:space="preserve">     Silage NDFD (48 Hour invitro) </t>
  </si>
  <si>
    <t>Tons (DM basis)</t>
  </si>
  <si>
    <t>Estimated stover yield based on grain yield</t>
  </si>
  <si>
    <t>Starch Adjustment/ton DM Silage</t>
  </si>
  <si>
    <t>If a lab analysis is not available keep this in mind:</t>
  </si>
  <si>
    <t xml:space="preserve">NDFD base value is 58% </t>
  </si>
  <si>
    <t>Starch base value is 29%</t>
  </si>
  <si>
    <r>
      <t xml:space="preserve">     Average grain loss for harvest before black layer (Bushels/Acre) </t>
    </r>
    <r>
      <rPr>
        <sz val="10"/>
        <color indexed="10"/>
        <rFont val="Arial"/>
        <family val="2"/>
      </rPr>
      <t>(b)</t>
    </r>
  </si>
  <si>
    <r>
      <t xml:space="preserve">Harvest and Storage Loss </t>
    </r>
    <r>
      <rPr>
        <sz val="10"/>
        <color indexed="10"/>
        <rFont val="Arial"/>
        <family val="2"/>
      </rPr>
      <t>(d)</t>
    </r>
  </si>
  <si>
    <r>
      <t xml:space="preserve">Silage Harvest Costs </t>
    </r>
    <r>
      <rPr>
        <b/>
        <sz val="11"/>
        <color indexed="10"/>
        <rFont val="Arial"/>
        <family val="2"/>
      </rPr>
      <t>(e)</t>
    </r>
  </si>
  <si>
    <r>
      <t xml:space="preserve">     Tons Stover DM/acre </t>
    </r>
    <r>
      <rPr>
        <sz val="10"/>
        <color indexed="17"/>
        <rFont val="Arial"/>
        <family val="2"/>
      </rPr>
      <t>(See estimate to right)</t>
    </r>
  </si>
  <si>
    <t xml:space="preserve">The spreadsheet develops a price from the seller’s (minimum to accept) and buyer’s (maximum to pay) perspectives.  </t>
  </si>
  <si>
    <t xml:space="preserve">This would represent the same returns to the seller if the seller harvested the corn for grain. </t>
  </si>
  <si>
    <t>The price is adjusted for the value of the phosphorus and potassium harvested in the stover.</t>
  </si>
  <si>
    <t xml:space="preserve">The seller will look at it from the standpoint of what is the value of the standing corn minus grain harvest costs. </t>
  </si>
  <si>
    <t xml:space="preserve">This spreadsheet adjusts the value of corn silage for quality based on what it would cost to purchase corn and straw to replace the nutritional value of corn silage. </t>
  </si>
  <si>
    <t>This would represent the maximum price the buyer would be willing to pay.</t>
  </si>
  <si>
    <t xml:space="preserve">The buyer will be looking at the price of standing corn in terms of quality and harvesting costs. </t>
  </si>
  <si>
    <t xml:space="preserve">Buyers and sellers need to consider local market conditions that would influence the final negotiated price. </t>
  </si>
  <si>
    <t xml:space="preserve">If the seller minimum is greater than the buyer maximum, it would be more economical to harvest the crop as grain versus silage. </t>
  </si>
  <si>
    <t xml:space="preserve">Because prices are likely to differ for buyer and seller, this spreadsheet is best suited to give a price range to start negotiations.  </t>
  </si>
  <si>
    <t>Developed By</t>
  </si>
  <si>
    <t>Please Enter Your Input Values into the Shaded Cells</t>
  </si>
  <si>
    <t>Dr. Joe Lauer: University of Wisconsin Corn Agronomist</t>
  </si>
  <si>
    <t>Ryan Sterry: UW-Extension Ag Agent - Polk County</t>
  </si>
  <si>
    <t>Lee Milligan: UW-Extension Ag Agent - St. Croix County</t>
  </si>
  <si>
    <t>for your input in the development of this program</t>
  </si>
  <si>
    <t xml:space="preserve">     (Gross Value of Crop - Grain Harvest Costs)</t>
  </si>
  <si>
    <t xml:space="preserve">Minimum Value/Acre of Corn Silage to Seller </t>
  </si>
  <si>
    <t xml:space="preserve">Total Value/Acre Corn Silage to Buyer Minus Harvest Costs </t>
  </si>
  <si>
    <r>
      <t xml:space="preserve">b)  </t>
    </r>
    <r>
      <rPr>
        <b/>
        <sz val="10"/>
        <color indexed="8"/>
        <rFont val="Arial"/>
        <family val="2"/>
      </rPr>
      <t xml:space="preserve">On average there is a 9% grain yield reduction for harvest before black layer.  </t>
    </r>
  </si>
  <si>
    <t xml:space="preserve">           Serves to estimate value of stover to buyer in corn silage.</t>
  </si>
  <si>
    <r>
      <t xml:space="preserve">Grain Harvest Costs  </t>
    </r>
    <r>
      <rPr>
        <b/>
        <sz val="11"/>
        <color indexed="10"/>
        <rFont val="Arial"/>
        <family val="2"/>
      </rPr>
      <t>(c)</t>
    </r>
  </si>
  <si>
    <r>
      <t>c)</t>
    </r>
    <r>
      <rPr>
        <b/>
        <sz val="10"/>
        <rFont val="Arial"/>
        <family val="2"/>
      </rPr>
      <t xml:space="preserve">  Average Grain Harvest Costs</t>
    </r>
  </si>
  <si>
    <t>Trucking</t>
  </si>
  <si>
    <t>Drying</t>
  </si>
  <si>
    <t>Storge (per month)</t>
  </si>
  <si>
    <t>$ per Bu.</t>
  </si>
  <si>
    <t>Expense</t>
  </si>
  <si>
    <t>0.15 - 0.20</t>
  </si>
  <si>
    <t>0.10 - 0.14</t>
  </si>
  <si>
    <t>0.02 - 0.03</t>
  </si>
  <si>
    <r>
      <t xml:space="preserve">d)  </t>
    </r>
    <r>
      <rPr>
        <b/>
        <sz val="10"/>
        <color indexed="8"/>
        <rFont val="Arial"/>
        <family val="2"/>
      </rPr>
      <t>Average is 2 - 3%</t>
    </r>
  </si>
  <si>
    <t xml:space="preserve">Trucking Cost/Acre </t>
  </si>
  <si>
    <t>Drying Cost/Acre</t>
  </si>
  <si>
    <t xml:space="preserve">Storage Cost/Acre  </t>
  </si>
  <si>
    <t>Use actual costs when possible, or refer to guidlines</t>
  </si>
  <si>
    <r>
      <t xml:space="preserve">Quality Adjustments for Silage </t>
    </r>
    <r>
      <rPr>
        <b/>
        <sz val="11"/>
        <color indexed="10"/>
        <rFont val="Arial"/>
        <family val="2"/>
      </rPr>
      <t>(g)</t>
    </r>
  </si>
  <si>
    <r>
      <t>g)</t>
    </r>
    <r>
      <rPr>
        <b/>
        <sz val="10"/>
        <rFont val="Arial"/>
        <family val="2"/>
      </rPr>
      <t xml:space="preserve">  Quality adjustments should be based on laboratory analysis when available</t>
    </r>
  </si>
  <si>
    <t xml:space="preserve">Thank you Dr. Randy Shaver and Dr. Jim Linn </t>
  </si>
  <si>
    <t>Guidelines</t>
  </si>
  <si>
    <t>Red letters refer to explanations or guidelines at bottom.</t>
  </si>
  <si>
    <t xml:space="preserve">     (Maximum Value to Bid)</t>
  </si>
  <si>
    <t>NDF Digestibility Adjustment/ton DM Silage</t>
  </si>
  <si>
    <r>
      <t>a)</t>
    </r>
    <r>
      <rPr>
        <b/>
        <sz val="10"/>
        <color indexed="8"/>
        <rFont val="Arial"/>
        <family val="2"/>
      </rPr>
      <t xml:space="preserve">  Straw Price: Use current market price for high quality (feed) straw.  </t>
    </r>
  </si>
  <si>
    <r>
      <t>f)</t>
    </r>
    <r>
      <rPr>
        <b/>
        <sz val="10"/>
        <rFont val="Arial"/>
        <family val="2"/>
      </rPr>
      <t xml:space="preserve">  Typical Harvest and Storage Losses Based on Storage Type</t>
    </r>
  </si>
  <si>
    <r>
      <t>e)</t>
    </r>
    <r>
      <rPr>
        <b/>
        <sz val="10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Use your own costs or current averages from the Wisconsin Cu</t>
    </r>
    <r>
      <rPr>
        <b/>
        <sz val="10"/>
        <rFont val="Arial"/>
        <family val="2"/>
      </rPr>
      <t>stom Rate Guide</t>
    </r>
  </si>
  <si>
    <t xml:space="preserve">Use your own costs or the following guidelines. </t>
  </si>
  <si>
    <t xml:space="preserve">     Price per lb K20</t>
  </si>
  <si>
    <t xml:space="preserve">     Price per lb P205</t>
  </si>
  <si>
    <r>
      <t xml:space="preserve">Local Market Price per ton for poor quality/low protein forage to Buyer </t>
    </r>
    <r>
      <rPr>
        <sz val="10"/>
        <color indexed="10"/>
        <rFont val="Arial"/>
        <family val="2"/>
      </rPr>
      <t>(a)</t>
    </r>
  </si>
  <si>
    <t xml:space="preserve">Corn Silage/Tons Acre (Wet Basis)  </t>
  </si>
  <si>
    <t>Yield Information</t>
  </si>
  <si>
    <t>Estimated</t>
  </si>
  <si>
    <t>Actual</t>
  </si>
  <si>
    <t>*To use estimated yield actual column must be BLANK!</t>
  </si>
  <si>
    <t>Grain Yield Bushels/Acre</t>
  </si>
  <si>
    <r>
      <t xml:space="preserve">Harvest and Storage Loss </t>
    </r>
    <r>
      <rPr>
        <sz val="10"/>
        <color indexed="10"/>
        <rFont val="Arial"/>
        <family val="2"/>
      </rPr>
      <t xml:space="preserve">(f)                    </t>
    </r>
    <r>
      <rPr>
        <b/>
        <sz val="10"/>
        <color indexed="8"/>
        <rFont val="Arial"/>
        <family val="2"/>
      </rPr>
      <t>Estimated</t>
    </r>
  </si>
  <si>
    <t>Actual (if known)</t>
  </si>
  <si>
    <t>August 2007  (Updated November 2009)</t>
  </si>
  <si>
    <t xml:space="preserve">This spreadsheet is intended to provide a framework for negotiating the price of corn silage. </t>
  </si>
  <si>
    <t xml:space="preserve">Within the pricing harvested corn silage tab, under harvest costs, the user has the option of selecting  which costs the buyer will pay for.  </t>
  </si>
  <si>
    <t>Please notice that there are two pricing tabs: one for STANDING corn silage and a second for HARVESTED corn silage.</t>
  </si>
  <si>
    <r>
      <t xml:space="preserve">Harvest and Storage Loss </t>
    </r>
    <r>
      <rPr>
        <sz val="10"/>
        <color indexed="10"/>
        <rFont val="Arial"/>
        <family val="2"/>
      </rPr>
      <t xml:space="preserve">(f)                      </t>
    </r>
    <r>
      <rPr>
        <b/>
        <sz val="10"/>
        <rFont val="Arial"/>
        <family val="2"/>
      </rPr>
      <t>Estimated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</si>
</sst>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0.000"/>
    <numFmt numFmtId="168" formatCode=";;;"/>
    <numFmt numFmtId="169" formatCode="0.0"/>
    <numFmt numFmtId="170" formatCode="#,##0.000"/>
    <numFmt numFmtId="171" formatCode="#,##0.0000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62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58"/>
      <name val="Arial"/>
      <family val="2"/>
    </font>
    <font>
      <sz val="12"/>
      <name val="Arial Narrow"/>
      <family val="2"/>
    </font>
    <font>
      <b/>
      <sz val="12"/>
      <color indexed="16"/>
      <name val="Arial"/>
      <family val="2"/>
    </font>
    <font>
      <b/>
      <sz val="16"/>
      <name val="Arial"/>
      <family val="2"/>
    </font>
    <font>
      <b/>
      <sz val="12"/>
      <color indexed="18"/>
      <name val="Arial"/>
      <family val="2"/>
    </font>
    <font>
      <sz val="14"/>
      <name val="Arial Narrow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0"/>
      <color indexed="10"/>
      <name val="Arial Rounded MT Bold"/>
      <family val="2"/>
    </font>
    <font>
      <sz val="8"/>
      <name val="Tahoma"/>
      <family val="2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10" fontId="0" fillId="0" borderId="0" xfId="0" applyNumberFormat="1" applyAlignment="1">
      <alignment/>
    </xf>
    <xf numFmtId="9" fontId="0" fillId="33" borderId="0" xfId="0" applyNumberFormat="1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10" fontId="0" fillId="33" borderId="0" xfId="0" applyNumberForma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1" fontId="0" fillId="33" borderId="0" xfId="0" applyNumberFormat="1" applyFill="1" applyAlignment="1" applyProtection="1">
      <alignment/>
      <protection locked="0"/>
    </xf>
    <xf numFmtId="165" fontId="0" fillId="33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164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0" fontId="0" fillId="34" borderId="0" xfId="0" applyNumberFormat="1" applyFill="1" applyAlignment="1" applyProtection="1">
      <alignment/>
      <protection hidden="1"/>
    </xf>
    <xf numFmtId="0" fontId="23" fillId="34" borderId="10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25" fillId="34" borderId="14" xfId="0" applyFont="1" applyFill="1" applyBorder="1" applyAlignment="1" applyProtection="1">
      <alignment horizontal="left"/>
      <protection/>
    </xf>
    <xf numFmtId="0" fontId="24" fillId="34" borderId="15" xfId="0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12" fillId="34" borderId="0" xfId="0" applyFont="1" applyFill="1" applyAlignment="1" applyProtection="1">
      <alignment/>
      <protection/>
    </xf>
    <xf numFmtId="9" fontId="0" fillId="34" borderId="0" xfId="0" applyNumberFormat="1" applyFill="1" applyAlignment="1" applyProtection="1">
      <alignment/>
      <protection/>
    </xf>
    <xf numFmtId="2" fontId="0" fillId="34" borderId="0" xfId="0" applyNumberForma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2" fontId="3" fillId="34" borderId="0" xfId="0" applyNumberFormat="1" applyFont="1" applyFill="1" applyAlignment="1" applyProtection="1">
      <alignment/>
      <protection/>
    </xf>
    <xf numFmtId="165" fontId="0" fillId="34" borderId="0" xfId="0" applyNumberForma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164" fontId="10" fillId="34" borderId="0" xfId="0" applyNumberFormat="1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164" fontId="11" fillId="34" borderId="0" xfId="0" applyNumberFormat="1" applyFont="1" applyFill="1" applyAlignment="1" applyProtection="1">
      <alignment/>
      <protection/>
    </xf>
    <xf numFmtId="0" fontId="27" fillId="34" borderId="0" xfId="0" applyFont="1" applyFill="1" applyAlignment="1" applyProtection="1">
      <alignment/>
      <protection/>
    </xf>
    <xf numFmtId="0" fontId="26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29" fillId="34" borderId="0" xfId="0" applyFont="1" applyFill="1" applyAlignment="1" applyProtection="1">
      <alignment/>
      <protection/>
    </xf>
    <xf numFmtId="164" fontId="28" fillId="34" borderId="0" xfId="0" applyNumberFormat="1" applyFont="1" applyFill="1" applyAlignment="1" applyProtection="1">
      <alignment/>
      <protection/>
    </xf>
    <xf numFmtId="0" fontId="30" fillId="34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 locked="0"/>
    </xf>
    <xf numFmtId="0" fontId="31" fillId="34" borderId="14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  <xf numFmtId="9" fontId="2" fillId="34" borderId="0" xfId="0" applyNumberFormat="1" applyFont="1" applyFill="1" applyAlignment="1" applyProtection="1">
      <alignment horizontal="center"/>
      <protection/>
    </xf>
    <xf numFmtId="9" fontId="0" fillId="33" borderId="0" xfId="0" applyNumberFormat="1" applyFill="1" applyBorder="1" applyAlignment="1" applyProtection="1">
      <alignment/>
      <protection locked="0"/>
    </xf>
    <xf numFmtId="9" fontId="0" fillId="34" borderId="0" xfId="0" applyNumberForma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32" fillId="34" borderId="0" xfId="0" applyFont="1" applyFill="1" applyBorder="1" applyAlignment="1" applyProtection="1">
      <alignment horizontal="left"/>
      <protection/>
    </xf>
    <xf numFmtId="2" fontId="0" fillId="33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/>
    </xf>
    <xf numFmtId="9" fontId="0" fillId="35" borderId="0" xfId="0" applyNumberFormat="1" applyFill="1" applyBorder="1" applyAlignment="1" applyProtection="1">
      <alignment/>
      <protection locked="0"/>
    </xf>
    <xf numFmtId="2" fontId="0" fillId="35" borderId="0" xfId="0" applyNumberFormat="1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 locked="0"/>
    </xf>
    <xf numFmtId="9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2" fontId="0" fillId="33" borderId="0" xfId="0" applyNumberFormat="1" applyFill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/>
      <protection/>
    </xf>
    <xf numFmtId="49" fontId="21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21" fillId="35" borderId="18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20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49" fontId="2" fillId="35" borderId="14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49" fontId="19" fillId="35" borderId="14" xfId="0" applyNumberFormat="1" applyFont="1" applyFill="1" applyBorder="1" applyAlignment="1">
      <alignment horizontal="center"/>
    </xf>
    <xf numFmtId="49" fontId="21" fillId="35" borderId="14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22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8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0" fillId="35" borderId="0" xfId="0" applyFill="1" applyAlignment="1" applyProtection="1">
      <alignment/>
      <protection locked="0"/>
    </xf>
    <xf numFmtId="9" fontId="0" fillId="35" borderId="0" xfId="0" applyNumberFormat="1" applyFill="1" applyAlignment="1" applyProtection="1">
      <alignment/>
      <protection locked="0"/>
    </xf>
    <xf numFmtId="2" fontId="0" fillId="35" borderId="0" xfId="0" applyNumberFormat="1" applyFill="1" applyAlignment="1">
      <alignment/>
    </xf>
    <xf numFmtId="164" fontId="0" fillId="0" borderId="0" xfId="0" applyNumberFormat="1" applyFill="1" applyAlignment="1" applyProtection="1">
      <alignment/>
      <protection/>
    </xf>
    <xf numFmtId="0" fontId="3" fillId="34" borderId="0" xfId="0" applyFont="1" applyFill="1" applyAlignment="1" applyProtection="1">
      <alignment vertical="top"/>
      <protection/>
    </xf>
    <xf numFmtId="44" fontId="0" fillId="34" borderId="0" xfId="44" applyFont="1" applyFill="1" applyAlignment="1" applyProtection="1">
      <alignment/>
      <protection/>
    </xf>
    <xf numFmtId="44" fontId="0" fillId="35" borderId="0" xfId="44" applyFont="1" applyFill="1" applyAlignment="1" applyProtection="1">
      <alignment/>
      <protection locked="0"/>
    </xf>
    <xf numFmtId="6" fontId="0" fillId="33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9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10" fontId="0" fillId="0" borderId="19" xfId="0" applyNumberForma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6" fontId="0" fillId="35" borderId="0" xfId="0" applyNumberFormat="1" applyFill="1" applyAlignment="1" applyProtection="1">
      <alignment/>
      <protection/>
    </xf>
    <xf numFmtId="44" fontId="0" fillId="35" borderId="0" xfId="44" applyFont="1" applyFill="1" applyAlignment="1" applyProtection="1">
      <alignment/>
      <protection/>
    </xf>
    <xf numFmtId="164" fontId="0" fillId="35" borderId="0" xfId="0" applyNumberFormat="1" applyFill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0" fontId="34" fillId="35" borderId="0" xfId="0" applyFont="1" applyFill="1" applyAlignment="1">
      <alignment/>
    </xf>
    <xf numFmtId="0" fontId="0" fillId="34" borderId="0" xfId="0" applyFill="1" applyAlignment="1" applyProtection="1">
      <alignment/>
      <protection locked="0"/>
    </xf>
    <xf numFmtId="9" fontId="2" fillId="35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133350</xdr:rowOff>
    </xdr:from>
    <xdr:to>
      <xdr:col>3</xdr:col>
      <xdr:colOff>1724025</xdr:colOff>
      <xdr:row>5</xdr:row>
      <xdr:rowOff>47625</xdr:rowOff>
    </xdr:to>
    <xdr:pic>
      <xdr:nvPicPr>
        <xdr:cNvPr id="1" name="Picture 1" descr="logo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33350"/>
          <a:ext cx="2438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723900</xdr:colOff>
      <xdr:row>32</xdr:row>
      <xdr:rowOff>219075</xdr:rowOff>
    </xdr:from>
    <xdr:ext cx="952500" cy="228600"/>
    <xdr:sp>
      <xdr:nvSpPr>
        <xdr:cNvPr id="1" name="TextBox 1"/>
        <xdr:cNvSpPr txBox="1">
          <a:spLocks noChangeArrowheads="1"/>
        </xdr:cNvSpPr>
      </xdr:nvSpPr>
      <xdr:spPr>
        <a:xfrm>
          <a:off x="723900" y="5715000"/>
          <a:ext cx="952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Buyer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Pays for: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4.421875" style="68" customWidth="1"/>
    <col min="2" max="2" width="9.140625" style="68" customWidth="1"/>
    <col min="3" max="3" width="6.8515625" style="68" customWidth="1"/>
    <col min="4" max="4" width="26.421875" style="68" customWidth="1"/>
    <col min="5" max="16384" width="9.140625" style="68" customWidth="1"/>
  </cols>
  <sheetData>
    <row r="1" spans="1:4" ht="20.25" customHeight="1">
      <c r="A1" s="71" t="s">
        <v>14</v>
      </c>
      <c r="B1" s="72"/>
      <c r="C1" s="72"/>
      <c r="D1" s="73"/>
    </row>
    <row r="2" spans="1:4" ht="12.75">
      <c r="A2" s="74" t="s">
        <v>116</v>
      </c>
      <c r="B2" s="75"/>
      <c r="C2" s="75"/>
      <c r="D2" s="76"/>
    </row>
    <row r="3" spans="1:4" ht="12.75">
      <c r="A3" s="74"/>
      <c r="B3" s="75"/>
      <c r="C3" s="75"/>
      <c r="D3" s="76"/>
    </row>
    <row r="4" spans="1:4" ht="15.75">
      <c r="A4" s="77" t="s">
        <v>68</v>
      </c>
      <c r="B4" s="75"/>
      <c r="C4" s="75"/>
      <c r="D4" s="76"/>
    </row>
    <row r="5" spans="1:4" ht="15.75">
      <c r="A5" s="78" t="s">
        <v>71</v>
      </c>
      <c r="B5" s="75"/>
      <c r="C5" s="75"/>
      <c r="D5" s="76"/>
    </row>
    <row r="6" spans="1:4" ht="15.75">
      <c r="A6" s="78" t="s">
        <v>72</v>
      </c>
      <c r="B6" s="75"/>
      <c r="C6" s="75"/>
      <c r="D6" s="76"/>
    </row>
    <row r="7" spans="1:4" ht="15.75">
      <c r="A7" s="67" t="s">
        <v>70</v>
      </c>
      <c r="B7" s="75"/>
      <c r="C7" s="75"/>
      <c r="D7" s="76"/>
    </row>
    <row r="8" spans="1:4" ht="15.75">
      <c r="A8" s="67"/>
      <c r="B8" s="75"/>
      <c r="C8" s="75"/>
      <c r="D8" s="76"/>
    </row>
    <row r="9" spans="1:6" ht="15.75">
      <c r="A9" s="67" t="s">
        <v>96</v>
      </c>
      <c r="B9" s="75"/>
      <c r="C9" s="75"/>
      <c r="D9" s="76"/>
      <c r="F9" s="75"/>
    </row>
    <row r="10" spans="1:6" ht="15.75">
      <c r="A10" s="69" t="s">
        <v>73</v>
      </c>
      <c r="B10" s="79"/>
      <c r="C10" s="79"/>
      <c r="D10" s="80"/>
      <c r="F10" s="75"/>
    </row>
    <row r="11" spans="1:6" ht="12.75">
      <c r="A11" s="70"/>
      <c r="B11" s="75"/>
      <c r="C11" s="75"/>
      <c r="D11" s="75"/>
      <c r="F11" s="75"/>
    </row>
    <row r="12" spans="1:6" ht="18">
      <c r="A12" s="81" t="s">
        <v>117</v>
      </c>
      <c r="B12" s="75"/>
      <c r="C12" s="75"/>
      <c r="D12" s="75"/>
      <c r="F12" s="75"/>
    </row>
    <row r="13" spans="1:6" ht="18">
      <c r="A13" s="110" t="s">
        <v>119</v>
      </c>
      <c r="B13" s="75"/>
      <c r="C13" s="75"/>
      <c r="D13" s="75"/>
      <c r="F13" s="75"/>
    </row>
    <row r="14" spans="1:6" ht="18">
      <c r="A14" s="81" t="s">
        <v>118</v>
      </c>
      <c r="B14" s="75"/>
      <c r="C14" s="75"/>
      <c r="D14" s="75"/>
      <c r="F14" s="75"/>
    </row>
    <row r="15" spans="1:6" ht="18">
      <c r="A15" s="81" t="s">
        <v>58</v>
      </c>
      <c r="B15" s="75"/>
      <c r="C15" s="75"/>
      <c r="D15" s="75"/>
      <c r="F15" s="75"/>
    </row>
    <row r="16" spans="1:6" ht="18">
      <c r="A16" s="81"/>
      <c r="B16" s="75"/>
      <c r="C16" s="75"/>
      <c r="D16" s="75"/>
      <c r="F16" s="75"/>
    </row>
    <row r="17" spans="1:4" ht="18">
      <c r="A17" s="81" t="s">
        <v>61</v>
      </c>
      <c r="B17" s="82"/>
      <c r="C17" s="75"/>
      <c r="D17" s="75"/>
    </row>
    <row r="18" spans="1:4" ht="18">
      <c r="A18" s="81" t="s">
        <v>59</v>
      </c>
      <c r="B18" s="82"/>
      <c r="C18" s="75"/>
      <c r="D18" s="75"/>
    </row>
    <row r="19" spans="1:4" ht="18">
      <c r="A19" s="81" t="s">
        <v>60</v>
      </c>
      <c r="B19" s="82"/>
      <c r="C19" s="75"/>
      <c r="D19" s="75"/>
    </row>
    <row r="20" spans="1:4" ht="18">
      <c r="A20" s="81"/>
      <c r="B20" s="82"/>
      <c r="C20" s="75"/>
      <c r="D20" s="75"/>
    </row>
    <row r="21" spans="1:4" ht="18">
      <c r="A21" s="81" t="s">
        <v>64</v>
      </c>
      <c r="B21" s="82"/>
      <c r="C21" s="75"/>
      <c r="D21" s="75"/>
    </row>
    <row r="22" spans="1:4" ht="18">
      <c r="A22" s="81" t="s">
        <v>62</v>
      </c>
      <c r="B22" s="82"/>
      <c r="C22" s="75"/>
      <c r="D22" s="75"/>
    </row>
    <row r="23" spans="1:4" ht="18">
      <c r="A23" s="81" t="s">
        <v>63</v>
      </c>
      <c r="B23" s="82"/>
      <c r="C23" s="75"/>
      <c r="D23" s="75"/>
    </row>
    <row r="24" spans="1:4" ht="18">
      <c r="A24" s="81"/>
      <c r="B24" s="82"/>
      <c r="C24" s="75"/>
      <c r="D24" s="75"/>
    </row>
    <row r="25" spans="1:3" ht="18">
      <c r="A25" s="81" t="s">
        <v>67</v>
      </c>
      <c r="B25" s="75"/>
      <c r="C25" s="75"/>
    </row>
    <row r="26" spans="1:3" ht="18">
      <c r="A26" s="81" t="s">
        <v>65</v>
      </c>
      <c r="B26" s="75"/>
      <c r="C26" s="75"/>
    </row>
    <row r="27" spans="1:3" ht="18">
      <c r="A27" s="81" t="s">
        <v>66</v>
      </c>
      <c r="B27" s="75"/>
      <c r="C27" s="75"/>
    </row>
    <row r="28" spans="1:5" ht="15.75">
      <c r="A28" s="83"/>
      <c r="B28" s="75"/>
      <c r="C28" s="75"/>
      <c r="E28" s="84"/>
    </row>
    <row r="29" spans="1:5" ht="15">
      <c r="A29" s="85"/>
      <c r="C29" s="84"/>
      <c r="D29" s="84"/>
      <c r="E29" s="86"/>
    </row>
    <row r="30" spans="4:5" ht="12.75">
      <c r="D30" s="86"/>
      <c r="E30" s="87"/>
    </row>
    <row r="31" spans="3:5" ht="12.75">
      <c r="C31" s="87"/>
      <c r="D31" s="87"/>
      <c r="E31" s="88"/>
    </row>
  </sheetData>
  <sheetProtection password="861A" sheet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1.28125" style="13" customWidth="1"/>
    <col min="2" max="2" width="11.57421875" style="13" customWidth="1"/>
    <col min="3" max="3" width="10.57421875" style="13" customWidth="1"/>
    <col min="4" max="5" width="9.28125" style="13" bestFit="1" customWidth="1"/>
    <col min="6" max="7" width="9.140625" style="13" customWidth="1"/>
    <col min="8" max="8" width="10.28125" style="13" customWidth="1"/>
    <col min="9" max="16384" width="9.140625" style="13" customWidth="1"/>
  </cols>
  <sheetData>
    <row r="1" spans="1:4" ht="18">
      <c r="A1" s="15" t="s">
        <v>14</v>
      </c>
      <c r="B1" s="16"/>
      <c r="C1" s="16"/>
      <c r="D1" s="17"/>
    </row>
    <row r="2" spans="1:4" ht="15.75">
      <c r="A2" s="50" t="s">
        <v>69</v>
      </c>
      <c r="B2" s="18"/>
      <c r="C2" s="18"/>
      <c r="D2" s="19"/>
    </row>
    <row r="3" spans="1:4" ht="15.75">
      <c r="A3" s="20" t="s">
        <v>98</v>
      </c>
      <c r="B3" s="18"/>
      <c r="C3" s="18"/>
      <c r="D3" s="19"/>
    </row>
    <row r="4" spans="1:4" ht="15.75">
      <c r="A4" s="21" t="s">
        <v>93</v>
      </c>
      <c r="B4" s="22"/>
      <c r="C4" s="22"/>
      <c r="D4" s="23"/>
    </row>
    <row r="5" spans="1:7" ht="15.75">
      <c r="A5" s="25"/>
      <c r="B5" s="18"/>
      <c r="C5" s="18"/>
      <c r="G5" s="48"/>
    </row>
    <row r="6" spans="1:7" ht="15.75">
      <c r="A6" s="26" t="s">
        <v>109</v>
      </c>
      <c r="C6" s="27"/>
      <c r="D6" s="27"/>
      <c r="G6" s="48"/>
    </row>
    <row r="7" spans="1:16" ht="12.75">
      <c r="A7" s="13" t="s">
        <v>113</v>
      </c>
      <c r="D7" s="1">
        <v>120</v>
      </c>
      <c r="J7" s="51"/>
      <c r="L7" s="9"/>
      <c r="M7" s="9"/>
      <c r="N7" s="9"/>
      <c r="O7" s="9"/>
      <c r="P7" s="9"/>
    </row>
    <row r="8" spans="1:16" ht="12.75">
      <c r="A8" s="13" t="s">
        <v>32</v>
      </c>
      <c r="C8" s="29"/>
      <c r="D8" s="53">
        <v>0.35</v>
      </c>
      <c r="E8" s="54"/>
      <c r="F8" s="18"/>
      <c r="G8" s="18"/>
      <c r="H8" s="18"/>
      <c r="I8" s="18"/>
      <c r="J8" s="60"/>
      <c r="L8" s="9"/>
      <c r="M8" s="96"/>
      <c r="N8" s="9"/>
      <c r="O8" s="9"/>
      <c r="P8" s="9"/>
    </row>
    <row r="9" spans="3:16" ht="12.75">
      <c r="C9" s="52" t="s">
        <v>110</v>
      </c>
      <c r="D9" s="55" t="s">
        <v>111</v>
      </c>
      <c r="E9" s="56" t="s">
        <v>112</v>
      </c>
      <c r="F9" s="18"/>
      <c r="G9" s="18"/>
      <c r="H9" s="18"/>
      <c r="I9" s="18"/>
      <c r="J9" s="60"/>
      <c r="L9" s="9"/>
      <c r="M9" s="96"/>
      <c r="N9" s="9"/>
      <c r="O9" s="9"/>
      <c r="P9" s="9"/>
    </row>
    <row r="10" spans="1:16" ht="12.75">
      <c r="A10" s="13" t="s">
        <v>108</v>
      </c>
      <c r="C10" s="65">
        <f>E121</f>
        <v>16.135417332247204</v>
      </c>
      <c r="D10" s="57"/>
      <c r="E10" s="66">
        <f>IF(D10="",C10,D10)</f>
        <v>16.135417332247204</v>
      </c>
      <c r="F10" s="18"/>
      <c r="G10" s="18"/>
      <c r="H10" s="18"/>
      <c r="I10" s="18"/>
      <c r="J10" s="61"/>
      <c r="L10" s="9"/>
      <c r="M10" s="9"/>
      <c r="N10" s="9"/>
      <c r="O10" s="9"/>
      <c r="P10" s="9"/>
    </row>
    <row r="11" spans="3:16" ht="12.75">
      <c r="C11" s="30"/>
      <c r="D11" s="58"/>
      <c r="E11" s="62"/>
      <c r="F11" s="18"/>
      <c r="G11" s="18"/>
      <c r="H11" s="18"/>
      <c r="I11" s="18"/>
      <c r="J11" s="59"/>
      <c r="L11" s="9"/>
      <c r="M11" s="9"/>
      <c r="N11" s="9"/>
      <c r="O11" s="9"/>
      <c r="P11" s="9"/>
    </row>
    <row r="12" spans="1:16" ht="15">
      <c r="A12" s="26" t="s">
        <v>27</v>
      </c>
      <c r="B12" s="31"/>
      <c r="C12" s="31"/>
      <c r="D12" s="32" t="s">
        <v>2</v>
      </c>
      <c r="E12" s="32" t="s">
        <v>1</v>
      </c>
      <c r="J12" s="30"/>
      <c r="L12" s="9"/>
      <c r="M12" s="9"/>
      <c r="N12" s="9"/>
      <c r="O12" s="9"/>
      <c r="P12" s="9"/>
    </row>
    <row r="13" spans="1:16" ht="12.75">
      <c r="A13" s="13" t="s">
        <v>31</v>
      </c>
      <c r="D13" s="4">
        <v>3.5</v>
      </c>
      <c r="E13" s="4">
        <v>3.85</v>
      </c>
      <c r="L13" s="9"/>
      <c r="M13" s="9"/>
      <c r="N13" s="9"/>
      <c r="O13" s="9"/>
      <c r="P13" s="9"/>
    </row>
    <row r="14" spans="1:16" ht="12.75">
      <c r="A14" s="13" t="s">
        <v>107</v>
      </c>
      <c r="D14" s="11"/>
      <c r="E14" s="8">
        <v>75</v>
      </c>
      <c r="L14" s="9"/>
      <c r="M14" s="9"/>
      <c r="N14" s="9"/>
      <c r="O14" s="14"/>
      <c r="P14" s="9"/>
    </row>
    <row r="15" spans="1:16" ht="12.75">
      <c r="A15" s="13" t="s">
        <v>54</v>
      </c>
      <c r="D15" s="11"/>
      <c r="E15" s="12">
        <f>D7*0.09</f>
        <v>10.799999999999999</v>
      </c>
      <c r="J15" s="49"/>
      <c r="L15" s="9"/>
      <c r="M15" s="9"/>
      <c r="N15" s="9"/>
      <c r="O15" s="14"/>
      <c r="P15" s="9"/>
    </row>
    <row r="16" spans="1:5" ht="12.75">
      <c r="A16" s="13" t="s">
        <v>4</v>
      </c>
      <c r="D16" s="33">
        <f>D7*D13</f>
        <v>420</v>
      </c>
      <c r="E16" s="33">
        <f>((D7-E15)*E13)+E14*(((E10*D8*0.9)/2))</f>
        <v>611.0196172371701</v>
      </c>
    </row>
    <row r="17" spans="4:5" ht="12.75">
      <c r="D17" s="33"/>
      <c r="E17" s="33"/>
    </row>
    <row r="18" ht="15">
      <c r="A18" s="26" t="s">
        <v>79</v>
      </c>
    </row>
    <row r="19" spans="1:4" ht="12.75">
      <c r="A19" s="13" t="s">
        <v>6</v>
      </c>
      <c r="D19" s="4">
        <v>25</v>
      </c>
    </row>
    <row r="20" spans="1:4" ht="12.75">
      <c r="A20" s="13" t="s">
        <v>90</v>
      </c>
      <c r="D20" s="11">
        <f>B21*D7</f>
        <v>18</v>
      </c>
    </row>
    <row r="21" spans="1:2" ht="12.75">
      <c r="A21" s="13" t="s">
        <v>5</v>
      </c>
      <c r="B21" s="4">
        <v>0.15</v>
      </c>
    </row>
    <row r="22" spans="1:4" ht="12.75">
      <c r="A22" s="13" t="s">
        <v>91</v>
      </c>
      <c r="D22" s="11">
        <f>B23*D7</f>
        <v>28.799999999999997</v>
      </c>
    </row>
    <row r="23" spans="1:2" ht="12.75">
      <c r="A23" s="13" t="s">
        <v>5</v>
      </c>
      <c r="B23" s="4">
        <v>0.24</v>
      </c>
    </row>
    <row r="24" spans="1:4" ht="12.75">
      <c r="A24" s="13" t="s">
        <v>92</v>
      </c>
      <c r="D24" s="11">
        <f>B25*D7*B26</f>
        <v>32.4</v>
      </c>
    </row>
    <row r="25" spans="1:2" ht="12.75">
      <c r="A25" s="13" t="s">
        <v>8</v>
      </c>
      <c r="B25" s="4">
        <v>0.03</v>
      </c>
    </row>
    <row r="26" spans="1:2" ht="12.75">
      <c r="A26" s="13" t="s">
        <v>7</v>
      </c>
      <c r="B26" s="1">
        <v>9</v>
      </c>
    </row>
    <row r="27" spans="1:4" ht="12.75">
      <c r="A27" s="13" t="s">
        <v>55</v>
      </c>
      <c r="D27" s="11">
        <f>B28*D16</f>
        <v>10.5</v>
      </c>
    </row>
    <row r="28" spans="1:2" ht="12.75">
      <c r="A28" s="13" t="s">
        <v>9</v>
      </c>
      <c r="B28" s="5">
        <v>0.025</v>
      </c>
    </row>
    <row r="29" spans="1:4" ht="12.75">
      <c r="A29" s="13" t="s">
        <v>10</v>
      </c>
      <c r="D29" s="11">
        <f>D19+D20+D22+D24+D27</f>
        <v>114.69999999999999</v>
      </c>
    </row>
    <row r="30" spans="1:4" ht="12.75">
      <c r="A30" s="13" t="s">
        <v>75</v>
      </c>
      <c r="D30" s="11">
        <f>D16-D29</f>
        <v>305.3</v>
      </c>
    </row>
    <row r="31" spans="1:7" ht="12.75">
      <c r="A31" s="13" t="s">
        <v>74</v>
      </c>
      <c r="D31" s="11"/>
      <c r="G31" s="24"/>
    </row>
    <row r="32" spans="1:9" ht="12.75">
      <c r="A32" s="13" t="s">
        <v>21</v>
      </c>
      <c r="D32" s="11">
        <f>D30/E10</f>
        <v>18.921109613313014</v>
      </c>
      <c r="G32" s="97"/>
      <c r="H32" s="97"/>
      <c r="I32" s="97"/>
    </row>
    <row r="33" ht="15">
      <c r="A33" s="26" t="s">
        <v>56</v>
      </c>
    </row>
    <row r="34" spans="1:5" ht="12.75">
      <c r="A34" s="13" t="s">
        <v>37</v>
      </c>
      <c r="E34" s="4">
        <v>55</v>
      </c>
    </row>
    <row r="35" spans="1:5" ht="12.75">
      <c r="A35" s="13" t="s">
        <v>38</v>
      </c>
      <c r="E35" s="4">
        <v>15</v>
      </c>
    </row>
    <row r="36" spans="1:5" ht="12.75">
      <c r="A36" s="111" t="s">
        <v>114</v>
      </c>
      <c r="B36" s="40" t="s">
        <v>115</v>
      </c>
      <c r="E36" s="11">
        <f>(E16*C37)</f>
        <v>79.43255024083211</v>
      </c>
    </row>
    <row r="37" spans="1:5" ht="18.75" customHeight="1">
      <c r="A37" s="87">
        <f>(IF(A151=1,C83,IF(A151=2,C84,IF(A151=3,C85,IF(A151=4,C86,C87)))))/100</f>
        <v>0.13</v>
      </c>
      <c r="B37" s="3"/>
      <c r="C37" s="29">
        <f>IF(B37="",A37,B37)</f>
        <v>0.13</v>
      </c>
      <c r="E37" s="11"/>
    </row>
    <row r="38" spans="1:6" ht="12.75">
      <c r="A38" s="111" t="s">
        <v>11</v>
      </c>
      <c r="E38" s="11">
        <f>E34+E35+E36</f>
        <v>149.43255024083211</v>
      </c>
      <c r="F38" s="11"/>
    </row>
    <row r="39" ht="15">
      <c r="A39" s="26" t="s">
        <v>0</v>
      </c>
    </row>
    <row r="40" spans="1:4" ht="12.75">
      <c r="A40" s="13" t="s">
        <v>28</v>
      </c>
      <c r="D40" s="11">
        <f>B41*B42*B43</f>
        <v>3.9486399999999997</v>
      </c>
    </row>
    <row r="41" spans="1:7" ht="12.75">
      <c r="A41" s="13" t="s">
        <v>12</v>
      </c>
      <c r="B41" s="13">
        <v>4.6</v>
      </c>
      <c r="G41" s="24" t="s">
        <v>49</v>
      </c>
    </row>
    <row r="42" spans="1:8" ht="12.75">
      <c r="A42" s="13" t="s">
        <v>57</v>
      </c>
      <c r="B42" s="1">
        <v>2.96</v>
      </c>
      <c r="G42" s="30">
        <f>((D7*56)*0.845)/2000</f>
        <v>2.8392</v>
      </c>
      <c r="H42" s="13" t="s">
        <v>48</v>
      </c>
    </row>
    <row r="43" spans="1:2" ht="12.75">
      <c r="A43" s="13" t="s">
        <v>106</v>
      </c>
      <c r="B43" s="4">
        <v>0.29</v>
      </c>
    </row>
    <row r="44" spans="1:4" ht="12.75">
      <c r="A44" s="13" t="s">
        <v>29</v>
      </c>
      <c r="D44" s="11">
        <f>B45*B46*B47</f>
        <v>29.3632</v>
      </c>
    </row>
    <row r="45" spans="1:2" ht="12.75">
      <c r="A45" s="13" t="s">
        <v>13</v>
      </c>
      <c r="B45" s="13">
        <v>32</v>
      </c>
    </row>
    <row r="46" spans="1:2" ht="12.75">
      <c r="A46" s="13" t="s">
        <v>57</v>
      </c>
      <c r="B46" s="1">
        <v>2.96</v>
      </c>
    </row>
    <row r="47" spans="1:2" ht="12.75">
      <c r="A47" s="13" t="s">
        <v>105</v>
      </c>
      <c r="B47" s="4">
        <v>0.31</v>
      </c>
    </row>
    <row r="48" spans="1:4" ht="12.75">
      <c r="A48" s="13" t="s">
        <v>39</v>
      </c>
      <c r="B48" s="11"/>
      <c r="D48" s="11">
        <f>D44+D40</f>
        <v>33.31184</v>
      </c>
    </row>
    <row r="49" spans="1:4" ht="12.75">
      <c r="A49" s="13" t="s">
        <v>35</v>
      </c>
      <c r="D49" s="11">
        <f>D30+D44+D40</f>
        <v>338.61184000000003</v>
      </c>
    </row>
    <row r="50" ht="12.75">
      <c r="A50" s="13" t="s">
        <v>36</v>
      </c>
    </row>
    <row r="52" spans="1:5" ht="12.75">
      <c r="A52" s="13" t="s">
        <v>76</v>
      </c>
      <c r="E52" s="11">
        <f>E16-E38</f>
        <v>461.58706699633797</v>
      </c>
    </row>
    <row r="53" spans="1:5" ht="12.75">
      <c r="A53" s="13" t="s">
        <v>99</v>
      </c>
      <c r="E53" s="11"/>
    </row>
    <row r="54" spans="1:5" ht="12.75">
      <c r="A54" s="35" t="s">
        <v>33</v>
      </c>
      <c r="B54" s="35"/>
      <c r="C54" s="35"/>
      <c r="D54" s="36">
        <f>D49/E10</f>
        <v>20.985626403555877</v>
      </c>
      <c r="E54" s="36">
        <f>E52/E10</f>
        <v>28.607073340076543</v>
      </c>
    </row>
    <row r="55" spans="1:5" ht="12.75">
      <c r="A55" s="35" t="s">
        <v>34</v>
      </c>
      <c r="B55" s="35"/>
      <c r="C55" s="35"/>
      <c r="D55" s="36">
        <f>D54/D8</f>
        <v>59.95893258158822</v>
      </c>
      <c r="E55" s="36">
        <f>E54/D8</f>
        <v>81.73449525736156</v>
      </c>
    </row>
    <row r="57" ht="15">
      <c r="A57" s="26" t="s">
        <v>94</v>
      </c>
    </row>
    <row r="58" spans="1:7" ht="12.75">
      <c r="A58" s="13" t="s">
        <v>50</v>
      </c>
      <c r="D58" s="11">
        <f>((D59-29)*0.5*D13)</f>
        <v>0</v>
      </c>
      <c r="E58" s="11">
        <f>((E59-29)*0.5*E13)</f>
        <v>0</v>
      </c>
      <c r="G58" s="24"/>
    </row>
    <row r="59" spans="1:7" ht="12.75">
      <c r="A59" s="13" t="s">
        <v>22</v>
      </c>
      <c r="D59" s="7">
        <v>29</v>
      </c>
      <c r="E59" s="7">
        <v>29</v>
      </c>
      <c r="G59" s="24"/>
    </row>
    <row r="60" spans="1:7" ht="12.75">
      <c r="A60" s="13" t="s">
        <v>23</v>
      </c>
      <c r="D60" s="11">
        <f>D13</f>
        <v>3.5</v>
      </c>
      <c r="E60" s="11">
        <f>E13</f>
        <v>3.85</v>
      </c>
      <c r="G60" s="24"/>
    </row>
    <row r="61" spans="1:7" ht="12.75">
      <c r="A61" s="13" t="s">
        <v>100</v>
      </c>
      <c r="D61" s="11">
        <f>D62*0.6*D63</f>
        <v>6.263999999999999</v>
      </c>
      <c r="E61" s="11">
        <f>E62*0.6*E63</f>
        <v>6.263999999999999</v>
      </c>
      <c r="G61" s="24"/>
    </row>
    <row r="62" spans="1:5" ht="12.75">
      <c r="A62" s="13" t="s">
        <v>47</v>
      </c>
      <c r="D62" s="3">
        <v>0.58</v>
      </c>
      <c r="E62" s="3">
        <v>0.58</v>
      </c>
    </row>
    <row r="63" spans="1:5" ht="12.75">
      <c r="A63" s="13" t="s">
        <v>24</v>
      </c>
      <c r="D63" s="4">
        <v>18</v>
      </c>
      <c r="E63" s="4">
        <v>18</v>
      </c>
    </row>
    <row r="64" spans="1:5" ht="12.75">
      <c r="A64" s="13" t="s">
        <v>30</v>
      </c>
      <c r="D64" s="11">
        <f>D58+D61</f>
        <v>6.263999999999999</v>
      </c>
      <c r="E64" s="11">
        <f>E61+E58</f>
        <v>6.263999999999999</v>
      </c>
    </row>
    <row r="65" spans="1:5" ht="12.75">
      <c r="A65" s="13" t="s">
        <v>3</v>
      </c>
      <c r="D65" s="11">
        <f>D55</f>
        <v>59.95893258158822</v>
      </c>
      <c r="E65" s="11">
        <f>E55</f>
        <v>81.73449525736156</v>
      </c>
    </row>
    <row r="66" spans="1:5" ht="12.75">
      <c r="A66" s="37" t="s">
        <v>25</v>
      </c>
      <c r="B66" s="37"/>
      <c r="C66" s="37"/>
      <c r="D66" s="38">
        <f>D67*D8</f>
        <v>23.178026403555876</v>
      </c>
      <c r="E66" s="38">
        <f>E67*D8</f>
        <v>30.799473340076542</v>
      </c>
    </row>
    <row r="67" spans="1:5" ht="12.75">
      <c r="A67" s="37" t="s">
        <v>26</v>
      </c>
      <c r="B67" s="37"/>
      <c r="C67" s="37"/>
      <c r="D67" s="38">
        <f>D65+D58+D61</f>
        <v>66.22293258158822</v>
      </c>
      <c r="E67" s="38">
        <f>E65+E58+E61</f>
        <v>87.99849525736155</v>
      </c>
    </row>
    <row r="68" spans="1:5" ht="12.75">
      <c r="A68" s="37"/>
      <c r="B68" s="37"/>
      <c r="C68" s="37"/>
      <c r="D68" s="38"/>
      <c r="E68" s="38"/>
    </row>
    <row r="69" spans="1:5" ht="18">
      <c r="A69" s="39" t="s">
        <v>97</v>
      </c>
      <c r="B69" s="37"/>
      <c r="C69" s="37"/>
      <c r="D69" s="38"/>
      <c r="E69" s="38"/>
    </row>
    <row r="70" spans="1:5" ht="12.75">
      <c r="A70" s="28" t="s">
        <v>101</v>
      </c>
      <c r="B70" s="37"/>
      <c r="C70" s="37"/>
      <c r="D70" s="38"/>
      <c r="E70" s="38"/>
    </row>
    <row r="71" spans="1:5" ht="12.75">
      <c r="A71" s="40" t="s">
        <v>78</v>
      </c>
      <c r="B71" s="37"/>
      <c r="C71" s="37"/>
      <c r="D71" s="38"/>
      <c r="E71" s="38"/>
    </row>
    <row r="72" spans="1:5" ht="12.75">
      <c r="A72" s="28" t="s">
        <v>77</v>
      </c>
      <c r="B72" s="37"/>
      <c r="C72" s="37"/>
      <c r="D72" s="38"/>
      <c r="E72" s="38"/>
    </row>
    <row r="73" spans="1:5" ht="12.75">
      <c r="A73" s="28" t="s">
        <v>80</v>
      </c>
      <c r="D73" s="38"/>
      <c r="E73" s="38"/>
    </row>
    <row r="74" spans="1:5" ht="12.75">
      <c r="A74" s="40" t="s">
        <v>104</v>
      </c>
      <c r="D74" s="38"/>
      <c r="E74" s="38"/>
    </row>
    <row r="75" spans="1:5" ht="12.75">
      <c r="A75" s="97" t="s">
        <v>85</v>
      </c>
      <c r="B75" s="97"/>
      <c r="C75" s="97" t="s">
        <v>84</v>
      </c>
      <c r="D75" s="38"/>
      <c r="E75" s="38"/>
    </row>
    <row r="76" spans="1:5" ht="12.75">
      <c r="A76" s="13" t="s">
        <v>81</v>
      </c>
      <c r="C76" s="13" t="s">
        <v>86</v>
      </c>
      <c r="D76" s="38"/>
      <c r="E76" s="38"/>
    </row>
    <row r="77" spans="1:5" ht="12.75">
      <c r="A77" s="13" t="s">
        <v>82</v>
      </c>
      <c r="C77" s="13" t="s">
        <v>87</v>
      </c>
      <c r="D77" s="38"/>
      <c r="E77" s="38"/>
    </row>
    <row r="78" spans="1:5" ht="12.75">
      <c r="A78" s="13" t="s">
        <v>83</v>
      </c>
      <c r="C78" s="13" t="s">
        <v>88</v>
      </c>
      <c r="D78" s="38"/>
      <c r="E78" s="38"/>
    </row>
    <row r="79" spans="1:5" ht="12.75">
      <c r="A79" s="28" t="s">
        <v>89</v>
      </c>
      <c r="D79" s="38"/>
      <c r="E79" s="38"/>
    </row>
    <row r="80" spans="1:5" ht="12.75">
      <c r="A80" s="28" t="s">
        <v>103</v>
      </c>
      <c r="D80" s="38"/>
      <c r="E80" s="38"/>
    </row>
    <row r="81" spans="1:5" ht="12.75">
      <c r="A81" s="28" t="s">
        <v>102</v>
      </c>
      <c r="D81" s="38"/>
      <c r="E81" s="38"/>
    </row>
    <row r="82" spans="1:5" ht="12.75">
      <c r="A82" s="97" t="s">
        <v>41</v>
      </c>
      <c r="B82" s="97"/>
      <c r="C82" s="97" t="s">
        <v>42</v>
      </c>
      <c r="D82" s="38"/>
      <c r="E82" s="38"/>
    </row>
    <row r="83" spans="1:5" ht="12.75">
      <c r="A83" s="111" t="s">
        <v>40</v>
      </c>
      <c r="B83" s="111"/>
      <c r="C83" s="111">
        <v>13</v>
      </c>
      <c r="D83" s="38"/>
      <c r="E83" s="38"/>
    </row>
    <row r="84" spans="1:5" ht="12.75">
      <c r="A84" s="111" t="s">
        <v>43</v>
      </c>
      <c r="B84" s="111"/>
      <c r="C84" s="111">
        <v>6</v>
      </c>
      <c r="D84" s="38"/>
      <c r="E84" s="38"/>
    </row>
    <row r="85" spans="1:5" ht="12.75">
      <c r="A85" s="111" t="s">
        <v>44</v>
      </c>
      <c r="B85" s="111"/>
      <c r="C85" s="111">
        <v>16</v>
      </c>
      <c r="D85" s="38"/>
      <c r="E85" s="38"/>
    </row>
    <row r="86" spans="1:5" ht="12.75">
      <c r="A86" s="111" t="s">
        <v>45</v>
      </c>
      <c r="B86" s="111"/>
      <c r="C86" s="111">
        <v>17.5</v>
      </c>
      <c r="D86" s="38"/>
      <c r="E86" s="38"/>
    </row>
    <row r="87" spans="1:5" ht="12.75">
      <c r="A87" s="111" t="s">
        <v>46</v>
      </c>
      <c r="B87" s="111"/>
      <c r="C87" s="111">
        <v>11</v>
      </c>
      <c r="D87" s="38"/>
      <c r="E87" s="38"/>
    </row>
    <row r="88" spans="1:5" ht="12.75">
      <c r="A88" s="28" t="s">
        <v>95</v>
      </c>
      <c r="D88" s="38"/>
      <c r="E88" s="38"/>
    </row>
    <row r="89" spans="1:5" ht="12.75">
      <c r="A89" s="24" t="s">
        <v>51</v>
      </c>
      <c r="D89" s="38"/>
      <c r="E89" s="38"/>
    </row>
    <row r="90" spans="1:5" ht="12.75">
      <c r="A90" s="24" t="s">
        <v>53</v>
      </c>
      <c r="D90" s="38"/>
      <c r="E90" s="38"/>
    </row>
    <row r="91" spans="1:5" ht="12.75">
      <c r="A91" s="24" t="s">
        <v>52</v>
      </c>
      <c r="D91" s="38"/>
      <c r="E91" s="38"/>
    </row>
    <row r="92" spans="1:5" ht="12.75">
      <c r="A92" s="45"/>
      <c r="D92" s="38"/>
      <c r="E92" s="38"/>
    </row>
    <row r="93" spans="1:7" ht="12.75">
      <c r="A93" s="45"/>
      <c r="B93" s="46"/>
      <c r="C93" s="46"/>
      <c r="D93" s="47"/>
      <c r="E93" s="47"/>
      <c r="F93" s="46"/>
      <c r="G93" s="46"/>
    </row>
    <row r="94" spans="1:7" ht="12.75">
      <c r="A94" s="45"/>
      <c r="B94" s="46"/>
      <c r="C94" s="46"/>
      <c r="D94" s="47"/>
      <c r="E94" s="47"/>
      <c r="F94" s="46"/>
      <c r="G94" s="46"/>
    </row>
    <row r="95" spans="1:5" ht="12.75">
      <c r="A95" s="45"/>
      <c r="D95" s="38"/>
      <c r="E95" s="38"/>
    </row>
    <row r="96" ht="12.75">
      <c r="A96" s="41"/>
    </row>
    <row r="97" ht="12.75">
      <c r="A97" s="41"/>
    </row>
    <row r="98" ht="12.75">
      <c r="A98" s="42"/>
    </row>
    <row r="99" ht="12.75">
      <c r="A99" s="98"/>
    </row>
    <row r="100" ht="12.75">
      <c r="A100" s="98"/>
    </row>
    <row r="101" ht="12.75">
      <c r="A101" s="41"/>
    </row>
    <row r="102" ht="12.75">
      <c r="A102" s="98"/>
    </row>
    <row r="103" ht="12.75">
      <c r="A103" s="98"/>
    </row>
    <row r="104" ht="12.75">
      <c r="A104" s="98"/>
    </row>
    <row r="106" ht="12.75">
      <c r="A106" s="98"/>
    </row>
    <row r="107" ht="12.75">
      <c r="A107" s="44"/>
    </row>
    <row r="108" ht="12.75">
      <c r="A108" s="44"/>
    </row>
    <row r="109" ht="12.75">
      <c r="A109" s="44"/>
    </row>
    <row r="110" ht="12.75">
      <c r="A110" s="44"/>
    </row>
    <row r="111" ht="12.75">
      <c r="A111" s="44"/>
    </row>
    <row r="112" ht="12.75">
      <c r="A112" s="44"/>
    </row>
    <row r="113" ht="12.75">
      <c r="A113" s="44"/>
    </row>
    <row r="116" spans="1:5" ht="12.75">
      <c r="A116" s="100">
        <v>25.549</v>
      </c>
      <c r="B116" s="100">
        <f>-66.7+41.7*(A116)-1.53*(A116*A116)</f>
        <v>-0.016343530000085593</v>
      </c>
      <c r="C116" s="100"/>
      <c r="D116" s="100"/>
      <c r="E116" s="100"/>
    </row>
    <row r="117" spans="1:5" ht="12.75">
      <c r="A117" s="100">
        <v>-66.7</v>
      </c>
      <c r="B117" s="102">
        <f>'Pricing STANDING Corn Silage'!$D$7</f>
        <v>120</v>
      </c>
      <c r="C117" s="100"/>
      <c r="D117" s="100"/>
      <c r="E117" s="100"/>
    </row>
    <row r="118" spans="1:5" ht="12.75">
      <c r="A118" s="100">
        <f>A117-B117</f>
        <v>-186.7</v>
      </c>
      <c r="B118" s="100" t="s">
        <v>15</v>
      </c>
      <c r="C118" s="100"/>
      <c r="D118" s="100"/>
      <c r="E118" s="100"/>
    </row>
    <row r="119" spans="1:5" ht="12.75">
      <c r="A119" s="100">
        <v>41.7</v>
      </c>
      <c r="B119" s="100" t="s">
        <v>16</v>
      </c>
      <c r="C119" s="100"/>
      <c r="D119" s="100"/>
      <c r="E119" s="100"/>
    </row>
    <row r="120" spans="1:5" ht="12.75">
      <c r="A120" s="100">
        <v>-1.53</v>
      </c>
      <c r="B120" s="100" t="s">
        <v>17</v>
      </c>
      <c r="C120" s="100" t="s">
        <v>18</v>
      </c>
      <c r="D120" s="100" t="s">
        <v>20</v>
      </c>
      <c r="E120" s="100" t="s">
        <v>19</v>
      </c>
    </row>
    <row r="121" spans="1:5" ht="12.75">
      <c r="A121" s="100"/>
      <c r="B121" s="100"/>
      <c r="C121" s="100">
        <f>(-A119+SQRT(POWER(41.7,2)-4*A120*A118))/(2*A120)</f>
        <v>5.647396066286522</v>
      </c>
      <c r="D121" s="103">
        <f>'Pricing STANDING Corn Silage'!$D$8</f>
        <v>0.35</v>
      </c>
      <c r="E121" s="100">
        <f>C121/D121</f>
        <v>16.135417332247204</v>
      </c>
    </row>
    <row r="150" spans="1:2" ht="12.75">
      <c r="A150" s="111"/>
      <c r="B150" s="111"/>
    </row>
    <row r="151" spans="1:2" ht="12.75">
      <c r="A151" s="111">
        <v>1</v>
      </c>
      <c r="B151" s="111"/>
    </row>
    <row r="152" spans="1:2" ht="12.75">
      <c r="A152" s="111" t="b">
        <v>1</v>
      </c>
      <c r="B152" s="111">
        <f>1*A152</f>
        <v>1</v>
      </c>
    </row>
    <row r="153" spans="1:2" ht="12.75">
      <c r="A153" s="111" t="b">
        <v>1</v>
      </c>
      <c r="B153" s="111">
        <f>1*A153</f>
        <v>1</v>
      </c>
    </row>
    <row r="154" spans="1:2" ht="12.75">
      <c r="A154" s="111" t="b">
        <v>1</v>
      </c>
      <c r="B154" s="111">
        <f>1*A154</f>
        <v>1</v>
      </c>
    </row>
    <row r="155" spans="1:2" ht="12.75">
      <c r="A155" s="111"/>
      <c r="B155" s="111"/>
    </row>
  </sheetData>
  <sheetProtection/>
  <printOptions/>
  <pageMargins left="0.75" right="0.75" top="1" bottom="1" header="0.5" footer="0.5"/>
  <pageSetup horizontalDpi="600" verticalDpi="600" orientation="portrait" r:id="rId2"/>
  <ignoredErrors>
    <ignoredError sqref="A37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3">
      <selection activeCell="D121" sqref="D121"/>
    </sheetView>
  </sheetViews>
  <sheetFormatPr defaultColWidth="9.140625" defaultRowHeight="12.75"/>
  <cols>
    <col min="1" max="1" width="51.28125" style="13" customWidth="1"/>
    <col min="2" max="2" width="16.421875" style="13" customWidth="1"/>
    <col min="3" max="3" width="10.57421875" style="13" customWidth="1"/>
    <col min="4" max="5" width="9.28125" style="13" bestFit="1" customWidth="1"/>
    <col min="6" max="7" width="9.140625" style="13" customWidth="1"/>
    <col min="8" max="8" width="10.28125" style="13" customWidth="1"/>
    <col min="9" max="16384" width="9.140625" style="13" customWidth="1"/>
  </cols>
  <sheetData>
    <row r="1" spans="1:4" ht="18">
      <c r="A1" s="15" t="s">
        <v>14</v>
      </c>
      <c r="B1" s="16"/>
      <c r="C1" s="16"/>
      <c r="D1" s="17"/>
    </row>
    <row r="2" spans="1:4" ht="15.75">
      <c r="A2" s="50" t="s">
        <v>69</v>
      </c>
      <c r="B2" s="18"/>
      <c r="C2" s="18"/>
      <c r="D2" s="19"/>
    </row>
    <row r="3" spans="1:4" ht="15.75">
      <c r="A3" s="20" t="s">
        <v>98</v>
      </c>
      <c r="B3" s="18"/>
      <c r="C3" s="18"/>
      <c r="D3" s="19"/>
    </row>
    <row r="4" spans="1:4" ht="15.75">
      <c r="A4" s="21" t="s">
        <v>93</v>
      </c>
      <c r="B4" s="22"/>
      <c r="C4" s="22"/>
      <c r="D4" s="23"/>
    </row>
    <row r="5" spans="1:7" ht="15.75">
      <c r="A5" s="25"/>
      <c r="B5" s="18"/>
      <c r="C5" s="18"/>
      <c r="G5" s="48"/>
    </row>
    <row r="6" spans="1:7" ht="15.75">
      <c r="A6" s="26" t="s">
        <v>109</v>
      </c>
      <c r="C6" s="27"/>
      <c r="D6" s="27"/>
      <c r="G6" s="48"/>
    </row>
    <row r="7" spans="1:16" ht="12.75">
      <c r="A7" s="13" t="s">
        <v>113</v>
      </c>
      <c r="D7" s="1">
        <v>125</v>
      </c>
      <c r="J7" s="51"/>
      <c r="L7" s="9"/>
      <c r="M7" s="9"/>
      <c r="N7" s="9"/>
      <c r="O7" s="9"/>
      <c r="P7" s="9"/>
    </row>
    <row r="8" spans="1:16" ht="12.75">
      <c r="A8" s="13" t="s">
        <v>32</v>
      </c>
      <c r="C8" s="29"/>
      <c r="D8" s="53">
        <v>0.35</v>
      </c>
      <c r="E8" s="54"/>
      <c r="F8" s="18"/>
      <c r="G8" s="18"/>
      <c r="H8" s="18"/>
      <c r="I8" s="18"/>
      <c r="J8" s="60"/>
      <c r="L8" s="9"/>
      <c r="M8" s="10"/>
      <c r="N8" s="9"/>
      <c r="O8" s="9"/>
      <c r="P8" s="9"/>
    </row>
    <row r="9" spans="3:16" ht="12.75">
      <c r="C9" s="52" t="s">
        <v>110</v>
      </c>
      <c r="D9" s="55" t="s">
        <v>111</v>
      </c>
      <c r="E9" s="56" t="s">
        <v>112</v>
      </c>
      <c r="F9" s="18"/>
      <c r="G9" s="18"/>
      <c r="H9" s="18"/>
      <c r="I9" s="18"/>
      <c r="J9" s="60"/>
      <c r="L9" s="9"/>
      <c r="M9" s="10"/>
      <c r="N9" s="9"/>
      <c r="O9" s="9"/>
      <c r="P9" s="9"/>
    </row>
    <row r="10" spans="1:16" ht="12.75">
      <c r="A10" s="13" t="s">
        <v>108</v>
      </c>
      <c r="C10" s="65">
        <f>E121</f>
        <v>16.728147162460818</v>
      </c>
      <c r="D10" s="57"/>
      <c r="E10" s="66">
        <f>IF(D10="",C10,D10)</f>
        <v>16.728147162460818</v>
      </c>
      <c r="F10" s="18"/>
      <c r="G10" s="18"/>
      <c r="H10" s="18"/>
      <c r="I10" s="18"/>
      <c r="J10" s="61"/>
      <c r="L10" s="9"/>
      <c r="M10" s="9"/>
      <c r="N10" s="9"/>
      <c r="O10" s="9"/>
      <c r="P10" s="9"/>
    </row>
    <row r="11" spans="3:16" ht="12.75">
      <c r="C11" s="30"/>
      <c r="D11" s="58"/>
      <c r="E11" s="62"/>
      <c r="F11" s="18"/>
      <c r="G11" s="18"/>
      <c r="H11" s="18"/>
      <c r="I11" s="18"/>
      <c r="J11" s="59"/>
      <c r="L11" s="9"/>
      <c r="M11" s="9"/>
      <c r="N11" s="9"/>
      <c r="O11" s="9"/>
      <c r="P11" s="9"/>
    </row>
    <row r="12" spans="1:16" ht="15">
      <c r="A12" s="26" t="s">
        <v>27</v>
      </c>
      <c r="B12" s="31"/>
      <c r="C12" s="31"/>
      <c r="D12" s="32" t="s">
        <v>2</v>
      </c>
      <c r="E12" s="32" t="s">
        <v>1</v>
      </c>
      <c r="J12" s="30"/>
      <c r="L12" s="9"/>
      <c r="M12" s="9"/>
      <c r="N12" s="9"/>
      <c r="O12" s="9"/>
      <c r="P12" s="9"/>
    </row>
    <row r="13" spans="1:16" ht="12.75">
      <c r="A13" s="13" t="s">
        <v>31</v>
      </c>
      <c r="D13" s="4">
        <v>3.5</v>
      </c>
      <c r="E13" s="4">
        <v>3.85</v>
      </c>
      <c r="L13" s="9"/>
      <c r="M13" s="9"/>
      <c r="N13" s="9"/>
      <c r="O13" s="9"/>
      <c r="P13" s="9"/>
    </row>
    <row r="14" spans="1:16" ht="12.75">
      <c r="A14" s="13" t="s">
        <v>107</v>
      </c>
      <c r="D14" s="11"/>
      <c r="E14" s="8">
        <v>75</v>
      </c>
      <c r="L14" s="9"/>
      <c r="M14" s="9"/>
      <c r="N14" s="9"/>
      <c r="O14" s="14"/>
      <c r="P14" s="9"/>
    </row>
    <row r="15" spans="1:16" ht="12.75">
      <c r="A15" s="13" t="s">
        <v>54</v>
      </c>
      <c r="D15" s="11"/>
      <c r="E15" s="12">
        <f>D7*0.09</f>
        <v>11.25</v>
      </c>
      <c r="J15" s="49"/>
      <c r="L15" s="9"/>
      <c r="M15" s="9"/>
      <c r="N15" s="9"/>
      <c r="O15" s="14"/>
      <c r="P15" s="9"/>
    </row>
    <row r="16" spans="1:5" ht="12.75">
      <c r="A16" s="13" t="s">
        <v>4</v>
      </c>
      <c r="D16" s="33">
        <f>D7*D13</f>
        <v>437.5</v>
      </c>
      <c r="E16" s="33">
        <f>((D7-E15)*E13)+E14*(((E10*D8*0.9)/2))</f>
        <v>635.5387383565684</v>
      </c>
    </row>
    <row r="17" spans="4:5" ht="12.75">
      <c r="D17" s="33"/>
      <c r="E17" s="33"/>
    </row>
    <row r="18" ht="15">
      <c r="A18" s="26" t="s">
        <v>79</v>
      </c>
    </row>
    <row r="19" spans="1:4" ht="12.75">
      <c r="A19" s="13" t="s">
        <v>6</v>
      </c>
      <c r="D19" s="4">
        <v>25</v>
      </c>
    </row>
    <row r="20" spans="1:4" ht="12.75">
      <c r="A20" s="13" t="s">
        <v>90</v>
      </c>
      <c r="D20" s="11">
        <f>B21*D7</f>
        <v>18.75</v>
      </c>
    </row>
    <row r="21" spans="1:2" ht="12.75">
      <c r="A21" s="13" t="s">
        <v>5</v>
      </c>
      <c r="B21" s="4">
        <v>0.15</v>
      </c>
    </row>
    <row r="22" spans="1:4" ht="12.75">
      <c r="A22" s="13" t="s">
        <v>91</v>
      </c>
      <c r="D22" s="11">
        <f>B23*D7</f>
        <v>30</v>
      </c>
    </row>
    <row r="23" spans="1:2" ht="12.75">
      <c r="A23" s="13" t="s">
        <v>5</v>
      </c>
      <c r="B23" s="4">
        <v>0.24</v>
      </c>
    </row>
    <row r="24" spans="1:4" ht="12.75">
      <c r="A24" s="13" t="s">
        <v>92</v>
      </c>
      <c r="D24" s="11">
        <f>B25*D7*B26</f>
        <v>33.75</v>
      </c>
    </row>
    <row r="25" spans="1:2" ht="12.75">
      <c r="A25" s="13" t="s">
        <v>8</v>
      </c>
      <c r="B25" s="4">
        <v>0.03</v>
      </c>
    </row>
    <row r="26" spans="1:2" ht="12.75">
      <c r="A26" s="13" t="s">
        <v>7</v>
      </c>
      <c r="B26" s="1">
        <v>9</v>
      </c>
    </row>
    <row r="27" spans="1:4" ht="12.75">
      <c r="A27" s="13" t="s">
        <v>55</v>
      </c>
      <c r="D27" s="11">
        <f>B28*D16</f>
        <v>10.9375</v>
      </c>
    </row>
    <row r="28" spans="1:2" ht="12.75">
      <c r="A28" s="13" t="s">
        <v>9</v>
      </c>
      <c r="B28" s="5">
        <v>0.025</v>
      </c>
    </row>
    <row r="29" spans="1:4" ht="12.75">
      <c r="A29" s="13" t="s">
        <v>10</v>
      </c>
      <c r="D29" s="11">
        <f>D19+D20+D22+D24+D27</f>
        <v>118.4375</v>
      </c>
    </row>
    <row r="30" spans="1:4" ht="12.75">
      <c r="A30" s="13" t="s">
        <v>75</v>
      </c>
      <c r="D30" s="11">
        <f>D16-D29</f>
        <v>319.0625</v>
      </c>
    </row>
    <row r="31" spans="1:7" ht="12.75">
      <c r="A31" s="13" t="s">
        <v>74</v>
      </c>
      <c r="D31" s="11"/>
      <c r="G31" s="24"/>
    </row>
    <row r="32" spans="1:10" ht="12.75">
      <c r="A32" s="13" t="s">
        <v>21</v>
      </c>
      <c r="D32" s="11">
        <f>D30/E10</f>
        <v>19.07339150602402</v>
      </c>
      <c r="G32" s="34"/>
      <c r="H32" s="104"/>
      <c r="I32" s="104"/>
      <c r="J32" s="95"/>
    </row>
    <row r="33" spans="1:10" ht="42.75" customHeight="1">
      <c r="A33" s="90" t="s">
        <v>56</v>
      </c>
      <c r="B33" s="99"/>
      <c r="G33" s="90"/>
      <c r="H33" s="105"/>
      <c r="I33" s="95"/>
      <c r="J33" s="95"/>
    </row>
    <row r="34" spans="1:11" ht="12.75">
      <c r="A34" s="13" t="s">
        <v>37</v>
      </c>
      <c r="B34" s="99"/>
      <c r="C34" s="93">
        <v>55</v>
      </c>
      <c r="D34" s="91">
        <f>IF(B152=0,C34,"")</f>
      </c>
      <c r="E34" s="91">
        <f>IF(B152=1,C34,"")</f>
        <v>55</v>
      </c>
      <c r="H34" s="105"/>
      <c r="I34" s="106"/>
      <c r="J34" s="107"/>
      <c r="K34" s="91"/>
    </row>
    <row r="35" spans="1:11" ht="12.75">
      <c r="A35" s="13" t="s">
        <v>38</v>
      </c>
      <c r="B35" s="18"/>
      <c r="C35" s="93">
        <v>15</v>
      </c>
      <c r="D35" s="91">
        <f>IF(B153=0,C35,"")</f>
      </c>
      <c r="E35" s="92">
        <f>IF(B153=1,C35,"")</f>
        <v>15</v>
      </c>
      <c r="H35" s="105"/>
      <c r="I35" s="106"/>
      <c r="J35" s="107"/>
      <c r="K35" s="92"/>
    </row>
    <row r="36" spans="1:11" ht="12.75">
      <c r="A36" s="13" t="s">
        <v>120</v>
      </c>
      <c r="B36" s="112" t="s">
        <v>115</v>
      </c>
      <c r="D36" s="11">
        <f>IF(B154=0,(E16*C37),"")</f>
      </c>
      <c r="E36" s="11">
        <f>IF(B154=1,(E16*C37),"")</f>
        <v>82.6200359863539</v>
      </c>
      <c r="H36" s="87"/>
      <c r="I36" s="95"/>
      <c r="J36" s="108"/>
      <c r="K36" s="11"/>
    </row>
    <row r="37" spans="1:11" ht="19.5" customHeight="1">
      <c r="A37" s="87">
        <f>(IF(A151=1,C83,IF(A151=2,C84,IF(A151=3,C85,IF(A151=4,C86,C87)))))/100</f>
        <v>0.13</v>
      </c>
      <c r="B37" s="3"/>
      <c r="C37" s="29">
        <f>IF(B37="",A37,B37)</f>
        <v>0.13</v>
      </c>
      <c r="D37" s="11"/>
      <c r="E37" s="11"/>
      <c r="H37" s="87"/>
      <c r="I37" s="95"/>
      <c r="J37" s="108"/>
      <c r="K37" s="11"/>
    </row>
    <row r="38" spans="1:11" ht="12.75">
      <c r="A38" s="13" t="s">
        <v>11</v>
      </c>
      <c r="D38" s="94">
        <f>SUM(D34:D36)</f>
        <v>0</v>
      </c>
      <c r="E38" s="94">
        <f>SUM(E34:E36)</f>
        <v>152.6200359863539</v>
      </c>
      <c r="F38" s="11"/>
      <c r="H38" s="95"/>
      <c r="I38" s="95"/>
      <c r="J38" s="109"/>
      <c r="K38" s="94"/>
    </row>
    <row r="39" spans="1:10" ht="15">
      <c r="A39" s="26" t="s">
        <v>0</v>
      </c>
      <c r="G39" s="95"/>
      <c r="H39" s="95"/>
      <c r="I39" s="95"/>
      <c r="J39" s="95"/>
    </row>
    <row r="40" spans="1:4" ht="12.75">
      <c r="A40" s="13" t="s">
        <v>28</v>
      </c>
      <c r="D40" s="11">
        <f>B41*B42*B43</f>
        <v>3.9486399999999997</v>
      </c>
    </row>
    <row r="41" spans="1:7" ht="12.75">
      <c r="A41" s="13" t="s">
        <v>12</v>
      </c>
      <c r="B41" s="13">
        <v>4.6</v>
      </c>
      <c r="G41" s="24" t="s">
        <v>49</v>
      </c>
    </row>
    <row r="42" spans="1:8" ht="12.75">
      <c r="A42" s="13" t="s">
        <v>57</v>
      </c>
      <c r="B42" s="1">
        <v>2.96</v>
      </c>
      <c r="G42" s="30">
        <f>((D7*56)*0.845)/2000</f>
        <v>2.9575</v>
      </c>
      <c r="H42" s="13" t="s">
        <v>48</v>
      </c>
    </row>
    <row r="43" spans="1:2" ht="12.75">
      <c r="A43" s="13" t="s">
        <v>106</v>
      </c>
      <c r="B43" s="4">
        <v>0.29</v>
      </c>
    </row>
    <row r="44" spans="1:4" ht="12.75">
      <c r="A44" s="13" t="s">
        <v>29</v>
      </c>
      <c r="D44" s="11">
        <f>B45*B46*B47</f>
        <v>29.3632</v>
      </c>
    </row>
    <row r="45" spans="1:2" ht="12.75">
      <c r="A45" s="13" t="s">
        <v>13</v>
      </c>
      <c r="B45" s="13">
        <v>32</v>
      </c>
    </row>
    <row r="46" spans="1:2" ht="12.75">
      <c r="A46" s="13" t="s">
        <v>57</v>
      </c>
      <c r="B46" s="1">
        <v>2.96</v>
      </c>
    </row>
    <row r="47" spans="1:2" ht="12.75">
      <c r="A47" s="13" t="s">
        <v>105</v>
      </c>
      <c r="B47" s="4">
        <v>0.31</v>
      </c>
    </row>
    <row r="48" spans="1:4" ht="12.75">
      <c r="A48" s="13" t="s">
        <v>39</v>
      </c>
      <c r="B48" s="11"/>
      <c r="D48" s="11">
        <f>D44+D40</f>
        <v>33.31184</v>
      </c>
    </row>
    <row r="49" spans="1:4" ht="12.75">
      <c r="A49" s="13" t="s">
        <v>35</v>
      </c>
      <c r="D49" s="89">
        <f>D30+D44+D40+D38</f>
        <v>352.37434</v>
      </c>
    </row>
    <row r="50" ht="12.75">
      <c r="A50" s="13" t="s">
        <v>36</v>
      </c>
    </row>
    <row r="52" spans="1:5" ht="12.75">
      <c r="A52" s="13" t="s">
        <v>76</v>
      </c>
      <c r="E52" s="11">
        <f>E16-E38</f>
        <v>482.9187023702145</v>
      </c>
    </row>
    <row r="53" spans="1:5" ht="12.75">
      <c r="A53" s="13" t="s">
        <v>99</v>
      </c>
      <c r="E53" s="11"/>
    </row>
    <row r="54" spans="1:5" ht="12.75">
      <c r="A54" s="35" t="s">
        <v>33</v>
      </c>
      <c r="B54" s="35"/>
      <c r="C54" s="35"/>
      <c r="D54" s="36">
        <f>D49/E10</f>
        <v>21.06475610106741</v>
      </c>
      <c r="E54" s="36">
        <f>E52/E10</f>
        <v>28.868630678591785</v>
      </c>
    </row>
    <row r="55" spans="1:5" ht="12.75">
      <c r="A55" s="35" t="s">
        <v>34</v>
      </c>
      <c r="B55" s="35"/>
      <c r="C55" s="35"/>
      <c r="D55" s="36">
        <f>D54/D8</f>
        <v>60.185017431621176</v>
      </c>
      <c r="E55" s="36">
        <f>E54/D8</f>
        <v>82.48180193883368</v>
      </c>
    </row>
    <row r="57" ht="15">
      <c r="A57" s="26" t="s">
        <v>94</v>
      </c>
    </row>
    <row r="58" spans="1:7" ht="12.75">
      <c r="A58" s="13" t="s">
        <v>50</v>
      </c>
      <c r="D58" s="11">
        <f>((D59-29)*0.5*D13)</f>
        <v>0</v>
      </c>
      <c r="E58" s="11">
        <f>((E59-29)*0.5*E13)</f>
        <v>0</v>
      </c>
      <c r="G58" s="24"/>
    </row>
    <row r="59" spans="1:7" ht="12.75">
      <c r="A59" s="13" t="s">
        <v>22</v>
      </c>
      <c r="D59" s="7">
        <v>29</v>
      </c>
      <c r="E59" s="7">
        <v>29</v>
      </c>
      <c r="G59" s="24"/>
    </row>
    <row r="60" spans="1:7" ht="12.75">
      <c r="A60" s="13" t="s">
        <v>23</v>
      </c>
      <c r="D60" s="11">
        <f>D13</f>
        <v>3.5</v>
      </c>
      <c r="E60" s="11">
        <f>E13</f>
        <v>3.85</v>
      </c>
      <c r="G60" s="24"/>
    </row>
    <row r="61" spans="1:7" ht="12.75">
      <c r="A61" s="13" t="s">
        <v>100</v>
      </c>
      <c r="D61" s="11">
        <f>D62*0.6*D63</f>
        <v>6.263999999999999</v>
      </c>
      <c r="E61" s="11">
        <f>E62*0.6*E63</f>
        <v>6.263999999999999</v>
      </c>
      <c r="G61" s="24"/>
    </row>
    <row r="62" spans="1:5" ht="12.75">
      <c r="A62" s="13" t="s">
        <v>47</v>
      </c>
      <c r="D62" s="3">
        <v>0.58</v>
      </c>
      <c r="E62" s="3">
        <v>0.58</v>
      </c>
    </row>
    <row r="63" spans="1:5" ht="12.75">
      <c r="A63" s="13" t="s">
        <v>24</v>
      </c>
      <c r="D63" s="4">
        <v>18</v>
      </c>
      <c r="E63" s="4">
        <v>18</v>
      </c>
    </row>
    <row r="64" spans="1:5" ht="12.75">
      <c r="A64" s="13" t="s">
        <v>30</v>
      </c>
      <c r="D64" s="11">
        <f>D58+D61</f>
        <v>6.263999999999999</v>
      </c>
      <c r="E64" s="11">
        <f>E61+E58</f>
        <v>6.263999999999999</v>
      </c>
    </row>
    <row r="65" spans="1:5" ht="12.75">
      <c r="A65" s="13" t="s">
        <v>3</v>
      </c>
      <c r="D65" s="11">
        <f>D55</f>
        <v>60.185017431621176</v>
      </c>
      <c r="E65" s="11">
        <f>E55</f>
        <v>82.48180193883368</v>
      </c>
    </row>
    <row r="66" spans="1:5" ht="12.75">
      <c r="A66" s="37" t="s">
        <v>25</v>
      </c>
      <c r="B66" s="37"/>
      <c r="C66" s="37"/>
      <c r="D66" s="38">
        <f>D67*D8</f>
        <v>23.25715610106741</v>
      </c>
      <c r="E66" s="38">
        <f>E67*D8</f>
        <v>31.061030678591784</v>
      </c>
    </row>
    <row r="67" spans="1:5" ht="12.75">
      <c r="A67" s="37" t="s">
        <v>26</v>
      </c>
      <c r="B67" s="37"/>
      <c r="C67" s="37"/>
      <c r="D67" s="38">
        <f>D65+D58+D61</f>
        <v>66.44901743162117</v>
      </c>
      <c r="E67" s="38">
        <f>E65+E58+E61</f>
        <v>88.74580193883368</v>
      </c>
    </row>
    <row r="68" spans="1:5" ht="12.75">
      <c r="A68" s="37"/>
      <c r="B68" s="37"/>
      <c r="C68" s="37"/>
      <c r="D68" s="38"/>
      <c r="E68" s="38"/>
    </row>
    <row r="69" spans="1:5" ht="18">
      <c r="A69" s="39" t="s">
        <v>97</v>
      </c>
      <c r="B69" s="37"/>
      <c r="C69" s="37"/>
      <c r="D69" s="38"/>
      <c r="E69" s="38"/>
    </row>
    <row r="70" spans="1:5" ht="12.75">
      <c r="A70" s="28" t="s">
        <v>101</v>
      </c>
      <c r="B70" s="37"/>
      <c r="C70" s="37"/>
      <c r="D70" s="38"/>
      <c r="E70" s="38"/>
    </row>
    <row r="71" spans="1:5" ht="12.75">
      <c r="A71" s="40" t="s">
        <v>78</v>
      </c>
      <c r="B71" s="37"/>
      <c r="C71" s="37"/>
      <c r="D71" s="38"/>
      <c r="E71" s="38"/>
    </row>
    <row r="72" spans="1:5" ht="12.75">
      <c r="A72" s="28" t="s">
        <v>77</v>
      </c>
      <c r="B72" s="37"/>
      <c r="C72" s="37"/>
      <c r="D72" s="38"/>
      <c r="E72" s="38"/>
    </row>
    <row r="73" spans="1:5" ht="12.75">
      <c r="A73" s="28" t="s">
        <v>80</v>
      </c>
      <c r="D73" s="38"/>
      <c r="E73" s="38"/>
    </row>
    <row r="74" spans="1:5" ht="12.75">
      <c r="A74" s="40" t="s">
        <v>104</v>
      </c>
      <c r="D74" s="38"/>
      <c r="E74" s="38"/>
    </row>
    <row r="75" spans="1:5" ht="12.75">
      <c r="A75" s="34" t="s">
        <v>85</v>
      </c>
      <c r="B75" s="34"/>
      <c r="C75" s="34" t="s">
        <v>84</v>
      </c>
      <c r="D75" s="38"/>
      <c r="E75" s="38"/>
    </row>
    <row r="76" spans="1:5" ht="12.75">
      <c r="A76" s="13" t="s">
        <v>81</v>
      </c>
      <c r="C76" s="13" t="s">
        <v>86</v>
      </c>
      <c r="D76" s="38"/>
      <c r="E76" s="38"/>
    </row>
    <row r="77" spans="1:5" ht="12.75">
      <c r="A77" s="13" t="s">
        <v>82</v>
      </c>
      <c r="C77" s="13" t="s">
        <v>87</v>
      </c>
      <c r="D77" s="38"/>
      <c r="E77" s="38"/>
    </row>
    <row r="78" spans="1:5" ht="12.75">
      <c r="A78" s="13" t="s">
        <v>83</v>
      </c>
      <c r="C78" s="13" t="s">
        <v>88</v>
      </c>
      <c r="D78" s="38"/>
      <c r="E78" s="38"/>
    </row>
    <row r="79" spans="1:5" ht="12.75">
      <c r="A79" s="28" t="s">
        <v>89</v>
      </c>
      <c r="D79" s="38"/>
      <c r="E79" s="38"/>
    </row>
    <row r="80" spans="1:5" ht="12.75">
      <c r="A80" s="28" t="s">
        <v>103</v>
      </c>
      <c r="D80" s="38"/>
      <c r="E80" s="38"/>
    </row>
    <row r="81" spans="1:5" ht="12.75">
      <c r="A81" s="28" t="s">
        <v>102</v>
      </c>
      <c r="D81" s="38"/>
      <c r="E81" s="38"/>
    </row>
    <row r="82" spans="1:5" ht="12.75">
      <c r="A82" s="34" t="s">
        <v>41</v>
      </c>
      <c r="B82" s="34"/>
      <c r="C82" s="34" t="s">
        <v>42</v>
      </c>
      <c r="D82" s="38"/>
      <c r="E82" s="38"/>
    </row>
    <row r="83" spans="1:5" ht="12.75">
      <c r="A83" s="13" t="s">
        <v>40</v>
      </c>
      <c r="C83" s="13">
        <v>13</v>
      </c>
      <c r="D83" s="38"/>
      <c r="E83" s="38"/>
    </row>
    <row r="84" spans="1:5" ht="12.75">
      <c r="A84" s="13" t="s">
        <v>43</v>
      </c>
      <c r="C84" s="13">
        <v>6</v>
      </c>
      <c r="D84" s="38"/>
      <c r="E84" s="38"/>
    </row>
    <row r="85" spans="1:5" ht="12.75">
      <c r="A85" s="13" t="s">
        <v>44</v>
      </c>
      <c r="C85" s="13">
        <v>16</v>
      </c>
      <c r="D85" s="38"/>
      <c r="E85" s="38"/>
    </row>
    <row r="86" spans="1:5" ht="12.75">
      <c r="A86" s="13" t="s">
        <v>45</v>
      </c>
      <c r="C86" s="13">
        <v>17.5</v>
      </c>
      <c r="D86" s="38"/>
      <c r="E86" s="38"/>
    </row>
    <row r="87" spans="1:5" ht="12.75">
      <c r="A87" s="13" t="s">
        <v>46</v>
      </c>
      <c r="C87" s="13">
        <v>11</v>
      </c>
      <c r="D87" s="38"/>
      <c r="E87" s="38"/>
    </row>
    <row r="88" spans="1:5" ht="12.75">
      <c r="A88" s="28" t="s">
        <v>95</v>
      </c>
      <c r="D88" s="38"/>
      <c r="E88" s="38"/>
    </row>
    <row r="89" spans="1:5" ht="12.75">
      <c r="A89" s="24" t="s">
        <v>51</v>
      </c>
      <c r="D89" s="38"/>
      <c r="E89" s="38"/>
    </row>
    <row r="90" spans="1:5" ht="12.75">
      <c r="A90" s="24" t="s">
        <v>53</v>
      </c>
      <c r="D90" s="38"/>
      <c r="E90" s="38"/>
    </row>
    <row r="91" spans="1:5" ht="12.75">
      <c r="A91" s="24" t="s">
        <v>52</v>
      </c>
      <c r="D91" s="38"/>
      <c r="E91" s="38"/>
    </row>
    <row r="92" spans="1:5" ht="12.75">
      <c r="A92" s="45"/>
      <c r="D92" s="38"/>
      <c r="E92" s="38"/>
    </row>
    <row r="93" spans="1:7" ht="12.75">
      <c r="A93" s="45"/>
      <c r="B93" s="46"/>
      <c r="C93" s="46"/>
      <c r="D93" s="47"/>
      <c r="E93" s="47"/>
      <c r="F93" s="46"/>
      <c r="G93" s="46"/>
    </row>
    <row r="94" spans="1:7" ht="12.75">
      <c r="A94" s="45"/>
      <c r="B94" s="46"/>
      <c r="C94" s="46"/>
      <c r="D94" s="47"/>
      <c r="E94" s="47"/>
      <c r="F94" s="46"/>
      <c r="G94" s="46"/>
    </row>
    <row r="95" spans="1:5" ht="12.75">
      <c r="A95" s="45"/>
      <c r="D95" s="38"/>
      <c r="E95" s="38"/>
    </row>
    <row r="96" ht="12.75">
      <c r="A96" s="41"/>
    </row>
    <row r="97" ht="12.75">
      <c r="A97" s="41"/>
    </row>
    <row r="98" ht="12.75">
      <c r="A98" s="42"/>
    </row>
    <row r="99" ht="12.75">
      <c r="A99" s="43"/>
    </row>
    <row r="100" ht="12.75">
      <c r="A100" s="43"/>
    </row>
    <row r="101" ht="12.75">
      <c r="A101" s="41"/>
    </row>
    <row r="102" ht="12.75">
      <c r="A102" s="43"/>
    </row>
    <row r="103" ht="12.75">
      <c r="A103" s="43"/>
    </row>
    <row r="104" ht="12.75">
      <c r="A104" s="43"/>
    </row>
    <row r="106" ht="12.75">
      <c r="A106" s="43"/>
    </row>
    <row r="107" ht="12.75">
      <c r="A107" s="44"/>
    </row>
    <row r="108" ht="12.75">
      <c r="A108" s="44"/>
    </row>
    <row r="109" ht="12.75">
      <c r="A109" s="44"/>
    </row>
    <row r="110" ht="12.75">
      <c r="A110" s="44"/>
    </row>
    <row r="111" ht="12.75">
      <c r="A111" s="44"/>
    </row>
    <row r="112" ht="12.75">
      <c r="A112" s="44"/>
    </row>
    <row r="113" ht="12.75">
      <c r="A113" s="44"/>
    </row>
    <row r="115" spans="1:6" ht="12.75">
      <c r="A115" s="100"/>
      <c r="B115" s="100"/>
      <c r="C115" s="100"/>
      <c r="D115" s="100"/>
      <c r="E115" s="100"/>
      <c r="F115" s="101"/>
    </row>
    <row r="116" spans="1:6" ht="12.75">
      <c r="A116" s="100">
        <v>25.549</v>
      </c>
      <c r="B116" s="100">
        <f>-66.7+41.7*(A116)-1.53*(A116*A116)</f>
        <v>-0.016343530000085593</v>
      </c>
      <c r="C116" s="100"/>
      <c r="D116" s="100"/>
      <c r="E116" s="100"/>
      <c r="F116" s="101"/>
    </row>
    <row r="117" spans="1:6" ht="12.75">
      <c r="A117" s="100">
        <v>-66.7</v>
      </c>
      <c r="B117" s="102">
        <f>'Pricing HARVESTED Corn Silage'!$D$7</f>
        <v>125</v>
      </c>
      <c r="C117" s="100"/>
      <c r="D117" s="100"/>
      <c r="E117" s="100"/>
      <c r="F117" s="101"/>
    </row>
    <row r="118" spans="1:6" ht="12.75">
      <c r="A118" s="100">
        <f>A117-B117</f>
        <v>-191.7</v>
      </c>
      <c r="B118" s="100" t="s">
        <v>15</v>
      </c>
      <c r="C118" s="100"/>
      <c r="D118" s="100"/>
      <c r="E118" s="100"/>
      <c r="F118" s="101"/>
    </row>
    <row r="119" spans="1:6" ht="12.75">
      <c r="A119" s="100">
        <v>41.7</v>
      </c>
      <c r="B119" s="100" t="s">
        <v>16</v>
      </c>
      <c r="C119" s="100"/>
      <c r="D119" s="100"/>
      <c r="E119" s="100"/>
      <c r="F119" s="101"/>
    </row>
    <row r="120" spans="1:6" ht="12.75">
      <c r="A120" s="100">
        <v>-1.53</v>
      </c>
      <c r="B120" s="100" t="s">
        <v>17</v>
      </c>
      <c r="C120" s="100" t="s">
        <v>18</v>
      </c>
      <c r="D120" s="100" t="s">
        <v>20</v>
      </c>
      <c r="E120" s="100" t="s">
        <v>19</v>
      </c>
      <c r="F120" s="101"/>
    </row>
    <row r="121" spans="1:6" ht="12.75">
      <c r="A121" s="100"/>
      <c r="B121" s="100"/>
      <c r="C121" s="100">
        <f>(-A119+SQRT(POWER(41.7,2)-4*A120*A118))/(2*A120)</f>
        <v>5.854851506861286</v>
      </c>
      <c r="D121" s="103">
        <f>'Pricing HARVESTED Corn Silage'!$D$8</f>
        <v>0.35</v>
      </c>
      <c r="E121" s="100">
        <f>C121/D121</f>
        <v>16.728147162460818</v>
      </c>
      <c r="F121" s="101"/>
    </row>
    <row r="122" spans="1:6" ht="12.75">
      <c r="A122" s="101"/>
      <c r="B122" s="101"/>
      <c r="C122" s="101"/>
      <c r="D122" s="101"/>
      <c r="E122" s="101"/>
      <c r="F122" s="101"/>
    </row>
    <row r="151" spans="1:2" ht="12.75">
      <c r="A151" s="111">
        <v>1</v>
      </c>
      <c r="B151" s="111"/>
    </row>
    <row r="152" spans="1:2" ht="12.75">
      <c r="A152" s="111" t="b">
        <v>1</v>
      </c>
      <c r="B152" s="111">
        <f>1*A152</f>
        <v>1</v>
      </c>
    </row>
    <row r="153" spans="1:2" ht="12.75">
      <c r="A153" s="111" t="b">
        <v>1</v>
      </c>
      <c r="B153" s="111">
        <f>1*A153</f>
        <v>1</v>
      </c>
    </row>
    <row r="154" spans="1:2" ht="12.75">
      <c r="A154" s="111" t="b">
        <v>1</v>
      </c>
      <c r="B154" s="111">
        <f>1*A154</f>
        <v>1</v>
      </c>
    </row>
  </sheetData>
  <sheetProtection password="861A" sheet="1"/>
  <printOptions/>
  <pageMargins left="0.75" right="0.75" top="1" bottom="1" header="0.5" footer="0.5"/>
  <pageSetup horizontalDpi="600" verticalDpi="600" orientation="portrait" r:id="rId3"/>
  <ignoredErrors>
    <ignoredError sqref="E35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A2" sqref="A2:E7"/>
    </sheetView>
  </sheetViews>
  <sheetFormatPr defaultColWidth="9.140625" defaultRowHeight="12.75"/>
  <sheetData>
    <row r="2" spans="1:2" ht="12.75">
      <c r="A2">
        <v>25.549</v>
      </c>
      <c r="B2">
        <f>-66.7+41.7*(A2)-1.53*(A2*A2)</f>
        <v>-0.016343530000085593</v>
      </c>
    </row>
    <row r="3" spans="1:2" ht="12.75">
      <c r="A3">
        <v>-66.7</v>
      </c>
      <c r="B3" s="6">
        <f>'Pricing HARVESTED Corn Silage'!$D$7</f>
        <v>125</v>
      </c>
    </row>
    <row r="4" spans="1:2" ht="12.75">
      <c r="A4">
        <f>A3-B3</f>
        <v>-191.7</v>
      </c>
      <c r="B4" t="s">
        <v>15</v>
      </c>
    </row>
    <row r="5" spans="1:2" ht="12.75">
      <c r="A5">
        <v>41.7</v>
      </c>
      <c r="B5" t="s">
        <v>16</v>
      </c>
    </row>
    <row r="6" spans="1:5" ht="12.75">
      <c r="A6">
        <v>-1.53</v>
      </c>
      <c r="B6" t="s">
        <v>17</v>
      </c>
      <c r="C6" t="s">
        <v>18</v>
      </c>
      <c r="D6" t="s">
        <v>20</v>
      </c>
      <c r="E6" t="s">
        <v>19</v>
      </c>
    </row>
    <row r="7" spans="3:5" ht="12.75">
      <c r="C7">
        <f>(-A5+SQRT(POWER(41.7,2)-4*A6*A4))/(2*A6)</f>
        <v>5.854851506861286</v>
      </c>
      <c r="D7" s="2">
        <f>'Pricing HARVESTED Corn Silage'!$D$8</f>
        <v>0.35</v>
      </c>
      <c r="E7">
        <f>C7/D7</f>
        <v>16.728147162460818</v>
      </c>
    </row>
    <row r="9" spans="1:2" ht="12.75">
      <c r="A9" s="63"/>
      <c r="B9" s="64"/>
    </row>
    <row r="12" ht="12.75">
      <c r="B12" s="6"/>
    </row>
  </sheetData>
  <sheetProtection password="861A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</dc:creator>
  <cp:keywords/>
  <dc:description/>
  <cp:lastModifiedBy>ryan.sterry</cp:lastModifiedBy>
  <cp:lastPrinted>2008-01-07T20:15:17Z</cp:lastPrinted>
  <dcterms:created xsi:type="dcterms:W3CDTF">2007-08-14T00:43:51Z</dcterms:created>
  <dcterms:modified xsi:type="dcterms:W3CDTF">2010-08-19T19:40:59Z</dcterms:modified>
  <cp:category/>
  <cp:version/>
  <cp:contentType/>
  <cp:contentStatus/>
</cp:coreProperties>
</file>